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DI\Downloads\"/>
    </mc:Choice>
  </mc:AlternateContent>
  <xr:revisionPtr revIDLastSave="0" documentId="8_{C11EAC8E-C4F0-4B84-BCE3-E841F67BD0F7}" xr6:coauthVersionLast="47" xr6:coauthVersionMax="47" xr10:uidLastSave="{00000000-0000-0000-0000-000000000000}"/>
  <workbookProtection workbookAlgorithmName="SHA-512" workbookHashValue="HgoEWEPLDgMyvybQOuQq9EJSFlfp9kWm6cVrPNh1IRppP0CAcpHIySA3GF7mvRnOjwjDDtWqte1v7Ya6roFxxQ==" workbookSaltValue="lu5tNC7BJJzEKH3Dh+Ockg==" workbookSpinCount="100000" lockStructure="1"/>
  <bookViews>
    <workbookView xWindow="-120" yWindow="-120" windowWidth="29040" windowHeight="15840" firstSheet="2" activeTab="2" xr2:uid="{EF15CA1F-C76D-490D-81E9-9428FCCE5FB9}"/>
  </bookViews>
  <sheets>
    <sheet name="Sheet1 (IKKE I BRUG)" sheetId="1" state="hidden" r:id="rId1"/>
    <sheet name="Datasheet (IKKE I BRUG)" sheetId="2" state="hidden" r:id="rId2"/>
    <sheet name="Udregner" sheetId="3" r:id="rId3"/>
    <sheet name="Datasheet"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4" l="1"/>
  <c r="J14" i="3"/>
  <c r="E16" i="4"/>
  <c r="E17" i="4"/>
  <c r="E28" i="4"/>
  <c r="E25" i="4"/>
  <c r="E26" i="4"/>
  <c r="E27" i="4"/>
  <c r="E18" i="4"/>
  <c r="E19" i="4"/>
  <c r="E20" i="4"/>
  <c r="E21" i="4"/>
  <c r="E22" i="4"/>
  <c r="E23" i="4"/>
  <c r="E24" i="4"/>
  <c r="E7" i="4" l="1"/>
  <c r="L7" i="4" s="1"/>
  <c r="L17" i="4"/>
  <c r="L16" i="4"/>
  <c r="L15" i="4"/>
  <c r="L14" i="4"/>
  <c r="C16" i="2"/>
  <c r="C17" i="2" s="1"/>
  <c r="F5" i="1"/>
  <c r="I9" i="1"/>
  <c r="L12" i="4" l="1"/>
  <c r="L3" i="4" s="1"/>
  <c r="L18" i="4"/>
  <c r="C18" i="2"/>
  <c r="U21" i="2"/>
  <c r="L20" i="4" l="1"/>
  <c r="J12" i="3"/>
  <c r="I16" i="3"/>
  <c r="L4" i="4"/>
  <c r="I18" i="3"/>
  <c r="N18" i="3"/>
  <c r="N23" i="3" s="1"/>
  <c r="I23" i="3" s="1"/>
  <c r="E2" i="4" s="1"/>
  <c r="C19" i="2"/>
  <c r="F15" i="1" s="1"/>
  <c r="F13" i="1"/>
  <c r="J19" i="3" l="1"/>
  <c r="L5" i="4"/>
  <c r="J23" i="3" s="1"/>
  <c r="J24" i="3" s="1"/>
</calcChain>
</file>

<file path=xl/sharedStrings.xml><?xml version="1.0" encoding="utf-8"?>
<sst xmlns="http://schemas.openxmlformats.org/spreadsheetml/2006/main" count="106" uniqueCount="83">
  <si>
    <t>Q</t>
  </si>
  <si>
    <t>A</t>
  </si>
  <si>
    <t>B</t>
  </si>
  <si>
    <t>C</t>
  </si>
  <si>
    <t>D</t>
  </si>
  <si>
    <t>Q/P values</t>
  </si>
  <si>
    <t>Nominel aktiv effekt</t>
  </si>
  <si>
    <t>MW</t>
  </si>
  <si>
    <t>Indfødningsomfang</t>
  </si>
  <si>
    <t>MVA</t>
  </si>
  <si>
    <t>NAN</t>
  </si>
  <si>
    <t>S:</t>
  </si>
  <si>
    <t>Q value:</t>
  </si>
  <si>
    <t>Reaktiv effekt leveringskrav</t>
  </si>
  <si>
    <t>MVAr</t>
  </si>
  <si>
    <r>
      <t>Normal Driftsspænding (U</t>
    </r>
    <r>
      <rPr>
        <sz val="8"/>
        <color theme="1"/>
        <rFont val="Montserrat"/>
      </rPr>
      <t>c</t>
    </r>
    <r>
      <rPr>
        <sz val="11"/>
        <color theme="1"/>
        <rFont val="Montserrat"/>
      </rPr>
      <t>)</t>
    </r>
  </si>
  <si>
    <t>kV</t>
  </si>
  <si>
    <t>Voltage levels</t>
  </si>
  <si>
    <t>→</t>
  </si>
  <si>
    <t>U</t>
  </si>
  <si>
    <t>Q_actual</t>
  </si>
  <si>
    <t>Anlæg kategori</t>
  </si>
  <si>
    <t>Lavspænding</t>
  </si>
  <si>
    <t>Mellem/Højspænding</t>
  </si>
  <si>
    <t>Type af Anlæg</t>
  </si>
  <si>
    <t>Synkront Produktionsanlæg</t>
  </si>
  <si>
    <t>Elproducerende anlæg</t>
  </si>
  <si>
    <t>Kategorier</t>
  </si>
  <si>
    <t>Typer</t>
  </si>
  <si>
    <t>Actual Q/P(nonsync):</t>
  </si>
  <si>
    <t>Actual Q/P</t>
  </si>
  <si>
    <t>Type anlæg</t>
  </si>
  <si>
    <t>Valg af udregner</t>
  </si>
  <si>
    <t>MVA til MW (Udregn nominel effekt)</t>
  </si>
  <si>
    <t>Synkront anlæg</t>
  </si>
  <si>
    <t>Anlæggets kategori</t>
  </si>
  <si>
    <t>Driftsspænding</t>
  </si>
  <si>
    <t>Indtastning 1 (Udfyld denne sektion først)</t>
  </si>
  <si>
    <t># Denne værdi angiver hvilken udregner der er i brug</t>
  </si>
  <si>
    <t>#1 (udregner værdi)</t>
  </si>
  <si>
    <t>#2 (udregner værdi)</t>
  </si>
  <si>
    <t>Udregner 1:</t>
  </si>
  <si>
    <t>Udregner 2:</t>
  </si>
  <si>
    <t>Resultat:</t>
  </si>
  <si>
    <t># Hvis indtastning 1.1 er udfyldt = 1 ellers 0</t>
  </si>
  <si>
    <t># Hvis indtastning 1.4 er udfyldt = 1 ellers 0</t>
  </si>
  <si>
    <t># Hvis indtastning 1.3 er udfyldt = 1 ellers 0</t>
  </si>
  <si>
    <t># Hvis indtastning 1.2 er udfyldt = 1 ellers 0</t>
  </si>
  <si>
    <t># Summen af ovenstående</t>
  </si>
  <si>
    <t>Resultat</t>
  </si>
  <si>
    <t># Denne værdi angiver hvilken type der er i brug</t>
  </si>
  <si>
    <t># Dette er Q/P faktoren brugt i udregnerne</t>
  </si>
  <si>
    <t>Aktuel P/S factor</t>
  </si>
  <si>
    <r>
      <t>P/S factor ved 0.329</t>
    </r>
    <r>
      <rPr>
        <i/>
        <sz val="11"/>
        <color theme="1"/>
        <rFont val="Calibri"/>
        <family val="2"/>
        <scheme val="minor"/>
      </rPr>
      <t xml:space="preserve"> [solve(S=sqrt(P^2+(0.329*P)^2),P]</t>
    </r>
  </si>
  <si>
    <r>
      <t xml:space="preserve">P/S factor ved 0.4 </t>
    </r>
    <r>
      <rPr>
        <i/>
        <sz val="11"/>
        <color theme="1"/>
        <rFont val="Calibri"/>
        <family val="2"/>
        <scheme val="minor"/>
      </rPr>
      <t>[solve(S=sqrt(P^2+(0.4*P)^2),P]</t>
    </r>
  </si>
  <si>
    <t>MW til MVA (Udregn indfødningsomfang)</t>
  </si>
  <si>
    <t># Dette er resultatet hvis man bruger udregner 1</t>
  </si>
  <si>
    <t># Dette er resultatet hvis man bruger udregner 2</t>
  </si>
  <si>
    <t># Dette er resultatet ud fra hvilken udregner man har valgt</t>
  </si>
  <si>
    <t># Dette er værdien givet til et elpruducerende anlæg</t>
  </si>
  <si>
    <t># Dette er værdien givet til et synkront anlæg</t>
  </si>
  <si>
    <t># Dette er forspørgslen til indtastning 2 for udregner 1</t>
  </si>
  <si>
    <t># Dette er forspørgslen til indtastning 2 for udregner 2</t>
  </si>
  <si>
    <t># Standard spændingsniveauer</t>
  </si>
  <si>
    <t># Kategorier</t>
  </si>
  <si>
    <t>Første Udkast (Ikke i brug)</t>
  </si>
  <si>
    <t>Første udkast af datasheet (ikke i brug)</t>
  </si>
  <si>
    <t>Spørgsmål:</t>
  </si>
  <si>
    <t xml:space="preserve">
Hvad skal der ske med kategori A anlæg hvis de vælger det? Skal det overhovedet være en mulighed at vælge? Hvis det ikke skal være en mulighed, giver det så overhovedet mening at spørger om driftsspændingen? 
Giver det overhovedet mening at spørge om Spændingen som det ser ud nu? Hvis kravene er de samme for mellem og højspænding, og når lavspænding slet ikke er en mulighed at vælge?
Hvis kategori A skal være med, så bliver lavspænding vel også nødt til at blive inkludered?
Så vidt jeg kan se på GPD hjemmeside om tilslutningsbidrag, så er det kun A-høj og A-lav hvor MVA er relevant. A-Høj har tilslutning i 50kV nettet og A-lav har tilslutning i 10-20 kV nettet i følge radius elnet. https://radiuselnet.dk/elnetkunder/tariffer-og-netabonnement/
Tænker at A-lav måske bare er hele mellemspændingsniveauet?
Vil det sige at a anlæg er fuldstændigt ude af billedet, og at driftsspændingen i princippet et helt ligegyldig?</t>
  </si>
  <si>
    <t>P/S factor ved Q/Pd=0,329 eller = 0.484</t>
  </si>
  <si>
    <t>#Hvis indtastning 2 er ufyldt = 1 ellers 0</t>
  </si>
  <si>
    <t># Sum af alle 5 indtastninger</t>
  </si>
  <si>
    <r>
      <rPr>
        <b/>
        <sz val="36"/>
        <color rgb="FF307675"/>
        <rFont val="Montserrat"/>
      </rPr>
      <t xml:space="preserve">Indfødningsomfang ved nettilslutning </t>
    </r>
    <r>
      <rPr>
        <b/>
        <sz val="36"/>
        <color rgb="FF6FC2B6"/>
        <rFont val="Montserrat"/>
      </rPr>
      <t xml:space="preserve">- </t>
    </r>
    <r>
      <rPr>
        <b/>
        <sz val="24"/>
        <color rgb="FF6FC2B6"/>
        <rFont val="Montserrat"/>
      </rPr>
      <t>Effektudregner</t>
    </r>
  </si>
  <si>
    <t>Version opdateret: 20-02-2023</t>
  </si>
  <si>
    <r>
      <t>Normal driftsspænding (U</t>
    </r>
    <r>
      <rPr>
        <b/>
        <u/>
        <sz val="8"/>
        <color theme="0"/>
        <rFont val="Montserrat"/>
      </rPr>
      <t>c</t>
    </r>
    <r>
      <rPr>
        <b/>
        <u/>
        <sz val="11"/>
        <color theme="0"/>
        <rFont val="Montserrat"/>
      </rPr>
      <t>):</t>
    </r>
  </si>
  <si>
    <t>Valg af udregner:</t>
  </si>
  <si>
    <t>Type anlæg:</t>
  </si>
  <si>
    <t>Anlæggets kategori:</t>
  </si>
  <si>
    <t>Udregnet maksimal indfødning af aktiv effekt:</t>
  </si>
  <si>
    <t>Indtast Indfødningsomfang:</t>
  </si>
  <si>
    <t>Indtast ønsket indfødning af aktiv effekt:</t>
  </si>
  <si>
    <t>Udregnet indfødningsomfang:</t>
  </si>
  <si>
    <r>
      <rPr>
        <b/>
        <sz val="11"/>
        <color theme="1"/>
        <rFont val="Calibri"/>
        <family val="2"/>
        <scheme val="minor"/>
      </rPr>
      <t>Introduktion</t>
    </r>
    <r>
      <rPr>
        <sz val="11"/>
        <color theme="1"/>
        <rFont val="Calibri"/>
        <family val="2"/>
        <scheme val="minor"/>
      </rPr>
      <t xml:space="preserve">
Dette Excel program er et værktøj, til at udregne det indfødningsomfang et produktionsanlæg som minimum skal tilkøbe  på baggrund af anlæggets ønskede udveksling af aktiv effekt eller omvendt.
Udregningerne er baseret på de "Tekniske betingelser for nettilslutning af et produktionsanlæg til lavspændingsnettet ≤(1kV)" og "Tekniske betingelser for nettilslutning af produktionsanlæg til mellem- og højspændingsnettet (&gt;1kV)".
Green Power Denmark kan ikke drages til ansvar, for korrektheden af de beregninger der udføres i programmet. Programmet skal udelukkende anses som værende vejledende.
</t>
    </r>
    <r>
      <rPr>
        <b/>
        <sz val="11"/>
        <color theme="1"/>
        <rFont val="Calibri"/>
        <family val="2"/>
        <scheme val="minor"/>
      </rPr>
      <t>Brugsvejledning</t>
    </r>
    <r>
      <rPr>
        <sz val="11"/>
        <color theme="1"/>
        <rFont val="Calibri"/>
        <family val="2"/>
        <scheme val="minor"/>
      </rPr>
      <t xml:space="preserve">
Hele "Indtastning 1" skal udfyldes som det første.
Valg af udregner afhænger af, om der skal udregnes et indfødningsomfang af et produktionsanlæg med en givet nominel effekt (</t>
    </r>
    <r>
      <rPr>
        <i/>
        <sz val="11"/>
        <color theme="1"/>
        <rFont val="Calibri"/>
        <family val="2"/>
        <scheme val="minor"/>
      </rPr>
      <t>her vælges MW til MVA</t>
    </r>
    <r>
      <rPr>
        <sz val="11"/>
        <color theme="1"/>
        <rFont val="Calibri"/>
        <family val="2"/>
        <scheme val="minor"/>
      </rPr>
      <t>), eller om der omvendt skal findes en nominel effekt af et produktionsanlæg ud fra et givet indfødningsomfang (</t>
    </r>
    <r>
      <rPr>
        <i/>
        <sz val="11"/>
        <color theme="1"/>
        <rFont val="Calibri"/>
        <family val="2"/>
        <scheme val="minor"/>
      </rPr>
      <t>Vælg da MVA til MW</t>
    </r>
    <r>
      <rPr>
        <sz val="11"/>
        <color theme="1"/>
        <rFont val="Calibri"/>
        <family val="2"/>
        <scheme val="minor"/>
      </rPr>
      <t>) .
Der skal angives om anlægget er et elproducerende anlæg, eller om det er et synkront produktionsanlæg.
Anlæggets kategori skal angives i en af følgende kategorier:
A = Anlæg op til 125kW
B = Anlæg fra 125kW op til 3MW
C = Anlæg fra 3MW op til 25MW
D = Anlæg fra 25MW
Driftsspændingen afgør om anlægget er forbundet til lav-, mellem-, eller højspænding og skal angives i kV.
Når alle fire felter i "Indtastning 1" er udfyldt, dukker "Indtastning 2" op.
Her skal der på baggrund af valget af udregner, indtastes enten anlæggets ønskede indfødning af aktive effekt i MW eller anlæggets nominelle indfødningsomfang (tilsynladende effekt) i MVA.
Når alle fem felter er udfyldt som beskrevet, vil resultatet blive vist i "Resultat" kassen.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</si>
</sst>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1"/>
      <color theme="1"/>
      <name val="Calibri"/>
      <family val="2"/>
      <scheme val="minor"/>
    </font>
    <font>
      <sz val="11"/>
      <color theme="1"/>
      <name val="Montserrat"/>
    </font>
    <font>
      <sz val="9"/>
      <color theme="1"/>
      <name val="Montserrat"/>
    </font>
    <font>
      <sz val="8"/>
      <color theme="1"/>
      <name val="Montserrat"/>
    </font>
    <font>
      <sz val="11"/>
      <color theme="1"/>
      <name val="Calibri"/>
      <family val="2"/>
    </font>
    <font>
      <b/>
      <sz val="11"/>
      <color theme="1"/>
      <name val="Calibri"/>
      <family val="2"/>
      <scheme val="minor"/>
    </font>
    <font>
      <sz val="8"/>
      <name val="Calibri"/>
      <family val="2"/>
      <scheme val="minor"/>
    </font>
    <font>
      <i/>
      <sz val="11"/>
      <color theme="1"/>
      <name val="Calibri"/>
      <family val="2"/>
      <scheme val="minor"/>
    </font>
    <font>
      <b/>
      <u val="double"/>
      <sz val="11"/>
      <color theme="1"/>
      <name val="Montserrat"/>
    </font>
    <font>
      <b/>
      <sz val="48"/>
      <color theme="1"/>
      <name val="Montserrat"/>
    </font>
    <font>
      <b/>
      <sz val="36"/>
      <color rgb="FF307675"/>
      <name val="Montserrat"/>
    </font>
    <font>
      <b/>
      <i/>
      <sz val="11"/>
      <color rgb="FFFF0000"/>
      <name val="Montserrat"/>
    </font>
    <font>
      <b/>
      <sz val="36"/>
      <color rgb="FF6FC2B6"/>
      <name val="Montserrat"/>
    </font>
    <font>
      <b/>
      <sz val="36"/>
      <color theme="1"/>
      <name val="Montserrat"/>
    </font>
    <font>
      <b/>
      <sz val="24"/>
      <color rgb="FF6FC2B6"/>
      <name val="Montserrat"/>
    </font>
    <font>
      <b/>
      <u/>
      <sz val="11"/>
      <color theme="0"/>
      <name val="Montserrat"/>
    </font>
    <font>
      <sz val="11"/>
      <color theme="0"/>
      <name val="Montserrat"/>
    </font>
    <font>
      <i/>
      <sz val="11"/>
      <color theme="0"/>
      <name val="Montserrat"/>
    </font>
    <font>
      <b/>
      <u/>
      <sz val="8"/>
      <color theme="0"/>
      <name val="Montserrat"/>
    </font>
    <font>
      <sz val="11"/>
      <color theme="1"/>
      <name val="Calibri"/>
      <family val="2"/>
      <scheme val="minor"/>
    </font>
    <font>
      <sz val="10"/>
      <color theme="1"/>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B3DFD9"/>
        <bgColor indexed="64"/>
      </patternFill>
    </fill>
    <fill>
      <patternFill patternType="solid">
        <fgColor rgb="FF98D4CB"/>
        <bgColor indexed="64"/>
      </patternFill>
    </fill>
    <fill>
      <patternFill patternType="solid">
        <fgColor rgb="FF307675"/>
        <bgColor indexed="64"/>
      </patternFill>
    </fill>
    <fill>
      <patternFill patternType="solid">
        <fgColor theme="8" tint="0.79998168889431442"/>
        <bgColor indexed="64"/>
      </patternFill>
    </fill>
    <fill>
      <patternFill patternType="solid">
        <fgColor theme="6"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307675"/>
      </left>
      <right/>
      <top style="thick">
        <color rgb="FF307675"/>
      </top>
      <bottom/>
      <diagonal/>
    </border>
    <border>
      <left/>
      <right/>
      <top style="thick">
        <color rgb="FF307675"/>
      </top>
      <bottom/>
      <diagonal/>
    </border>
    <border>
      <left/>
      <right style="thick">
        <color rgb="FF307675"/>
      </right>
      <top style="thick">
        <color rgb="FF307675"/>
      </top>
      <bottom/>
      <diagonal/>
    </border>
    <border>
      <left style="thick">
        <color rgb="FF307675"/>
      </left>
      <right/>
      <top/>
      <bottom/>
      <diagonal/>
    </border>
    <border>
      <left/>
      <right style="thick">
        <color rgb="FF307675"/>
      </right>
      <top/>
      <bottom/>
      <diagonal/>
    </border>
    <border>
      <left style="thick">
        <color rgb="FF307675"/>
      </left>
      <right/>
      <top/>
      <bottom style="thick">
        <color rgb="FF307675"/>
      </bottom>
      <diagonal/>
    </border>
    <border>
      <left/>
      <right/>
      <top/>
      <bottom style="thick">
        <color rgb="FF307675"/>
      </bottom>
      <diagonal/>
    </border>
    <border>
      <left/>
      <right style="thick">
        <color rgb="FF307675"/>
      </right>
      <top/>
      <bottom style="thick">
        <color rgb="FF307675"/>
      </bottom>
      <diagonal/>
    </border>
    <border>
      <left style="thick">
        <color rgb="FF1E4A49"/>
      </left>
      <right/>
      <top style="thick">
        <color rgb="FF1E4A49"/>
      </top>
      <bottom/>
      <diagonal/>
    </border>
    <border>
      <left/>
      <right/>
      <top style="thick">
        <color rgb="FF1E4A49"/>
      </top>
      <bottom/>
      <diagonal/>
    </border>
    <border>
      <left/>
      <right style="thick">
        <color rgb="FF1E4A49"/>
      </right>
      <top style="thick">
        <color rgb="FF1E4A49"/>
      </top>
      <bottom/>
      <diagonal/>
    </border>
    <border>
      <left style="thick">
        <color rgb="FF1E4A49"/>
      </left>
      <right/>
      <top/>
      <bottom/>
      <diagonal/>
    </border>
    <border>
      <left/>
      <right style="thick">
        <color rgb="FF1E4A49"/>
      </right>
      <top/>
      <bottom/>
      <diagonal/>
    </border>
    <border>
      <left style="thick">
        <color rgb="FF1E4A49"/>
      </left>
      <right/>
      <top/>
      <bottom style="thick">
        <color rgb="FF1E4A49"/>
      </bottom>
      <diagonal/>
    </border>
    <border>
      <left/>
      <right/>
      <top/>
      <bottom style="thick">
        <color rgb="FF1E4A49"/>
      </bottom>
      <diagonal/>
    </border>
    <border>
      <left/>
      <right style="thick">
        <color rgb="FF1E4A49"/>
      </right>
      <top/>
      <bottom style="thick">
        <color rgb="FF1E4A49"/>
      </bottom>
      <diagonal/>
    </border>
  </borders>
  <cellStyleXfs count="1">
    <xf numFmtId="0" fontId="0" fillId="0" borderId="0"/>
  </cellStyleXfs>
  <cellXfs count="71">
    <xf numFmtId="0" fontId="0" fillId="0" borderId="0" xfId="0"/>
    <xf numFmtId="0" fontId="0" fillId="2" borderId="1" xfId="0" applyFill="1" applyBorder="1"/>
    <xf numFmtId="0" fontId="0" fillId="3" borderId="1" xfId="0" applyFill="1" applyBorder="1"/>
    <xf numFmtId="0" fontId="1" fillId="0" borderId="0" xfId="0" applyFont="1"/>
    <xf numFmtId="0" fontId="0" fillId="4" borderId="1" xfId="0" applyFill="1" applyBorder="1"/>
    <xf numFmtId="3" fontId="1" fillId="4" borderId="2" xfId="0" applyNumberFormat="1" applyFont="1" applyFill="1" applyBorder="1"/>
    <xf numFmtId="3" fontId="1" fillId="0" borderId="0" xfId="0" applyNumberFormat="1" applyFont="1"/>
    <xf numFmtId="4" fontId="1" fillId="4" borderId="2" xfId="0" applyNumberFormat="1" applyFont="1" applyFill="1" applyBorder="1"/>
    <xf numFmtId="2" fontId="1" fillId="4" borderId="2" xfId="0" applyNumberFormat="1" applyFont="1" applyFill="1" applyBorder="1"/>
    <xf numFmtId="0" fontId="4" fillId="0" borderId="0" xfId="0" applyFont="1"/>
    <xf numFmtId="0" fontId="1" fillId="4" borderId="2" xfId="0" applyFont="1" applyFill="1" applyBorder="1" applyAlignment="1">
      <alignment horizontal="center"/>
    </xf>
    <xf numFmtId="0" fontId="2" fillId="4" borderId="2" xfId="0" applyFont="1" applyFill="1" applyBorder="1" applyAlignment="1">
      <alignment horizontal="center"/>
    </xf>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1" fillId="0" borderId="0" xfId="0" applyFont="1" applyAlignment="1">
      <alignment vertical="top"/>
    </xf>
    <xf numFmtId="0" fontId="1" fillId="0" borderId="0" xfId="0" applyFont="1" applyAlignment="1">
      <alignment vertical="top" wrapText="1"/>
    </xf>
    <xf numFmtId="0" fontId="1" fillId="11" borderId="9" xfId="0" applyFont="1" applyFill="1" applyBorder="1" applyAlignment="1">
      <alignment vertical="top"/>
    </xf>
    <xf numFmtId="0" fontId="1" fillId="11" borderId="10" xfId="0" applyFont="1" applyFill="1" applyBorder="1" applyAlignment="1">
      <alignment vertical="top"/>
    </xf>
    <xf numFmtId="0" fontId="1" fillId="11" borderId="0" xfId="0" applyFont="1" applyFill="1" applyAlignment="1">
      <alignment vertical="top"/>
    </xf>
    <xf numFmtId="0" fontId="1" fillId="11" borderId="12" xfId="0" applyFont="1" applyFill="1" applyBorder="1" applyAlignment="1">
      <alignment vertical="top"/>
    </xf>
    <xf numFmtId="0" fontId="1" fillId="11" borderId="13" xfId="0" applyFont="1" applyFill="1" applyBorder="1" applyAlignment="1">
      <alignment vertical="top"/>
    </xf>
    <xf numFmtId="0" fontId="1" fillId="11" borderId="14" xfId="0" applyFont="1" applyFill="1" applyBorder="1" applyAlignment="1">
      <alignment vertical="top"/>
    </xf>
    <xf numFmtId="0" fontId="1" fillId="11" borderId="15" xfId="0" applyFont="1" applyFill="1" applyBorder="1" applyAlignment="1">
      <alignment vertical="top"/>
    </xf>
    <xf numFmtId="0" fontId="1" fillId="12" borderId="9" xfId="0" applyFont="1" applyFill="1" applyBorder="1" applyAlignment="1">
      <alignment vertical="top"/>
    </xf>
    <xf numFmtId="0" fontId="1" fillId="12" borderId="10" xfId="0" applyFont="1" applyFill="1" applyBorder="1" applyAlignment="1">
      <alignment vertical="top"/>
    </xf>
    <xf numFmtId="0" fontId="1" fillId="12" borderId="12" xfId="0" applyFont="1" applyFill="1" applyBorder="1" applyAlignment="1">
      <alignment vertical="top"/>
    </xf>
    <xf numFmtId="0" fontId="1" fillId="12" borderId="13" xfId="0" applyFont="1" applyFill="1" applyBorder="1" applyAlignment="1">
      <alignment vertical="top"/>
    </xf>
    <xf numFmtId="0" fontId="1" fillId="12" borderId="14" xfId="0" applyFont="1" applyFill="1" applyBorder="1" applyAlignment="1">
      <alignment vertical="top"/>
    </xf>
    <xf numFmtId="0" fontId="1" fillId="12" borderId="15" xfId="0" applyFont="1" applyFill="1" applyBorder="1" applyAlignment="1">
      <alignment vertical="top"/>
    </xf>
    <xf numFmtId="0" fontId="1" fillId="13" borderId="17" xfId="0" applyFont="1" applyFill="1" applyBorder="1" applyAlignment="1">
      <alignment vertical="top"/>
    </xf>
    <xf numFmtId="0" fontId="1" fillId="13" borderId="18" xfId="0" applyFont="1" applyFill="1" applyBorder="1" applyAlignment="1">
      <alignment vertical="top"/>
    </xf>
    <xf numFmtId="0" fontId="1" fillId="13" borderId="20" xfId="0" applyFont="1" applyFill="1" applyBorder="1" applyAlignment="1">
      <alignment vertical="top"/>
    </xf>
    <xf numFmtId="0" fontId="1" fillId="13" borderId="21" xfId="0" applyFont="1" applyFill="1" applyBorder="1" applyAlignment="1">
      <alignment vertical="top"/>
    </xf>
    <xf numFmtId="0" fontId="1" fillId="13" borderId="22" xfId="0" applyFont="1" applyFill="1" applyBorder="1" applyAlignment="1">
      <alignment vertical="top"/>
    </xf>
    <xf numFmtId="0" fontId="1" fillId="13" borderId="23" xfId="0" applyFont="1" applyFill="1" applyBorder="1" applyAlignment="1">
      <alignment vertical="top"/>
    </xf>
    <xf numFmtId="0" fontId="0" fillId="9" borderId="1" xfId="0" applyFill="1" applyBorder="1"/>
    <xf numFmtId="0" fontId="0" fillId="10" borderId="1" xfId="0" applyFill="1" applyBorder="1"/>
    <xf numFmtId="0" fontId="0" fillId="14" borderId="1" xfId="0" applyFill="1" applyBorder="1"/>
    <xf numFmtId="0" fontId="9" fillId="0" borderId="0" xfId="0" applyFont="1" applyAlignment="1">
      <alignment vertical="top"/>
    </xf>
    <xf numFmtId="0" fontId="5" fillId="0" borderId="0" xfId="0" applyFont="1"/>
    <xf numFmtId="0" fontId="0" fillId="15" borderId="1" xfId="0" applyFill="1" applyBorder="1"/>
    <xf numFmtId="0" fontId="0" fillId="8" borderId="0" xfId="0" applyFill="1"/>
    <xf numFmtId="0" fontId="1" fillId="12" borderId="0" xfId="0" applyFont="1" applyFill="1" applyAlignment="1">
      <alignment vertical="top"/>
    </xf>
    <xf numFmtId="0" fontId="1" fillId="13" borderId="0" xfId="0" applyFont="1" applyFill="1" applyAlignment="1">
      <alignment vertical="top"/>
    </xf>
    <xf numFmtId="0" fontId="11" fillId="13" borderId="22" xfId="0" applyFont="1" applyFill="1" applyBorder="1" applyAlignment="1">
      <alignment vertical="top"/>
    </xf>
    <xf numFmtId="0" fontId="11" fillId="12" borderId="14" xfId="0" applyFont="1" applyFill="1" applyBorder="1" applyAlignment="1">
      <alignment vertical="top"/>
    </xf>
    <xf numFmtId="0" fontId="11" fillId="11" borderId="14" xfId="0" applyFont="1" applyFill="1" applyBorder="1" applyAlignment="1">
      <alignment vertical="top"/>
    </xf>
    <xf numFmtId="0" fontId="11" fillId="11" borderId="0" xfId="0" applyFont="1" applyFill="1" applyAlignment="1">
      <alignment vertical="top"/>
    </xf>
    <xf numFmtId="0" fontId="2" fillId="0" borderId="0" xfId="0" applyFont="1"/>
    <xf numFmtId="0" fontId="15" fillId="13" borderId="16" xfId="0" applyFont="1" applyFill="1" applyBorder="1" applyAlignment="1">
      <alignment vertical="top"/>
    </xf>
    <xf numFmtId="0" fontId="16" fillId="13" borderId="19" xfId="0" applyFont="1" applyFill="1" applyBorder="1" applyAlignment="1">
      <alignment vertical="top"/>
    </xf>
    <xf numFmtId="0" fontId="17" fillId="12" borderId="8" xfId="0" applyFont="1" applyFill="1" applyBorder="1" applyAlignment="1">
      <alignment vertical="top"/>
    </xf>
    <xf numFmtId="0" fontId="16" fillId="12" borderId="11" xfId="0" applyFont="1" applyFill="1" applyBorder="1" applyAlignment="1">
      <alignment vertical="top"/>
    </xf>
    <xf numFmtId="0" fontId="15" fillId="11" borderId="8" xfId="0" applyFont="1" applyFill="1" applyBorder="1" applyAlignment="1">
      <alignment vertical="top"/>
    </xf>
    <xf numFmtId="0" fontId="16" fillId="11" borderId="11" xfId="0" applyFont="1" applyFill="1" applyBorder="1" applyAlignment="1">
      <alignment vertical="top"/>
    </xf>
    <xf numFmtId="0" fontId="15" fillId="12" borderId="11" xfId="0" applyFont="1" applyFill="1" applyBorder="1" applyAlignment="1">
      <alignment horizontal="right" vertical="top"/>
    </xf>
    <xf numFmtId="0" fontId="15" fillId="13" borderId="19" xfId="0" applyFont="1" applyFill="1" applyBorder="1" applyAlignment="1">
      <alignment horizontal="right" vertical="top"/>
    </xf>
    <xf numFmtId="0" fontId="15" fillId="11" borderId="11" xfId="0" applyFont="1" applyFill="1" applyBorder="1" applyAlignment="1">
      <alignment horizontal="right" vertical="top"/>
    </xf>
    <xf numFmtId="0" fontId="1" fillId="4" borderId="3" xfId="0" applyFont="1" applyFill="1" applyBorder="1" applyAlignment="1">
      <alignment horizontal="center"/>
    </xf>
    <xf numFmtId="0" fontId="1" fillId="4" borderId="4" xfId="0" applyFont="1" applyFill="1" applyBorder="1" applyAlignment="1">
      <alignment horizontal="center"/>
    </xf>
    <xf numFmtId="0" fontId="13" fillId="0" borderId="0" xfId="0" applyFont="1" applyAlignment="1">
      <alignment horizontal="left" vertical="center"/>
    </xf>
    <xf numFmtId="164" fontId="8" fillId="13" borderId="0" xfId="0" applyNumberFormat="1" applyFont="1" applyFill="1" applyAlignment="1">
      <alignment horizontal="center" vertical="top"/>
    </xf>
    <xf numFmtId="0" fontId="1" fillId="12" borderId="0" xfId="0" applyFont="1" applyFill="1" applyAlignment="1" applyProtection="1">
      <alignment horizontal="center" vertical="top"/>
      <protection locked="0"/>
    </xf>
    <xf numFmtId="0" fontId="1" fillId="4" borderId="5" xfId="0" applyFont="1" applyFill="1" applyBorder="1" applyAlignment="1" applyProtection="1">
      <alignment horizontal="center" vertical="top"/>
      <protection locked="0"/>
    </xf>
    <xf numFmtId="0" fontId="1" fillId="4" borderId="6" xfId="0" applyFont="1" applyFill="1" applyBorder="1" applyAlignment="1" applyProtection="1">
      <alignment horizontal="center" vertical="top"/>
      <protection locked="0"/>
    </xf>
    <xf numFmtId="0" fontId="1" fillId="4" borderId="7" xfId="0" applyFont="1" applyFill="1" applyBorder="1" applyAlignment="1" applyProtection="1">
      <alignment horizontal="center" vertical="top"/>
      <protection locked="0"/>
    </xf>
    <xf numFmtId="0" fontId="0" fillId="0" borderId="0" xfId="0" applyAlignment="1">
      <alignment horizontal="left" vertical="top" wrapText="1"/>
    </xf>
    <xf numFmtId="0" fontId="0" fillId="0" borderId="0" xfId="0" applyFont="1" applyAlignment="1">
      <alignment horizontal="left" vertical="top" wrapText="1"/>
    </xf>
    <xf numFmtId="14" fontId="20" fillId="0" borderId="0" xfId="0" applyNumberFormat="1" applyFont="1" applyAlignment="1">
      <alignment horizontal="right" vertical="top"/>
    </xf>
  </cellXfs>
  <cellStyles count="1">
    <cellStyle name="Normal" xfId="0" builtinId="0"/>
  </cellStyles>
  <dxfs count="3">
    <dxf>
      <font>
        <b/>
        <i val="0"/>
        <strike val="0"/>
        <u/>
      </font>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307675"/>
      <color rgb="FF1E4A49"/>
      <color rgb="FF98D4CB"/>
      <color rgb="FFB3DFD9"/>
      <color rgb="FF6FC2B6"/>
      <color rgb="FF30C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27260963637031"/>
          <c:y val="8.806578592917659E-2"/>
          <c:w val="0.70543951467144439"/>
          <c:h val="0.83130252235074509"/>
        </c:manualLayout>
      </c:layout>
      <c:scatterChart>
        <c:scatterStyle val="lineMarker"/>
        <c:varyColors val="0"/>
        <c:ser>
          <c:idx val="0"/>
          <c:order val="0"/>
          <c:tx>
            <c:strRef>
              <c:f>'Datasheet (IKKE I BRUG)'!$T$20</c:f>
              <c:strCache>
                <c:ptCount val="1"/>
                <c:pt idx="0">
                  <c:v>U</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'Datasheet (IKKE I BRUG)'!$S$21:$S$29</c:f>
              <c:numCache>
                <c:formatCode>General</c:formatCode>
                <c:ptCount val="9"/>
                <c:pt idx="0">
                  <c:v>0</c:v>
                </c:pt>
                <c:pt idx="1">
                  <c:v>0.32900000000000001</c:v>
                </c:pt>
                <c:pt idx="2">
                  <c:v>0.32900000000000001</c:v>
                </c:pt>
                <c:pt idx="3">
                  <c:v>0.32900000000000001</c:v>
                </c:pt>
                <c:pt idx="4">
                  <c:v>0</c:v>
                </c:pt>
                <c:pt idx="5">
                  <c:v>-0.32900000000000001</c:v>
                </c:pt>
                <c:pt idx="6">
                  <c:v>-0.32900000000000001</c:v>
                </c:pt>
                <c:pt idx="7">
                  <c:v>-0.32900000000000001</c:v>
                </c:pt>
                <c:pt idx="8">
                  <c:v>0</c:v>
                </c:pt>
              </c:numCache>
            </c:numRef>
          </c:xVal>
          <c:yVal>
            <c:numRef>
              <c:f>'Datasheet (IKKE I BRUG)'!$T$21:$T$29</c:f>
              <c:numCache>
                <c:formatCode>General</c:formatCode>
                <c:ptCount val="9"/>
                <c:pt idx="0">
                  <c:v>1.05</c:v>
                </c:pt>
                <c:pt idx="1">
                  <c:v>1.04</c:v>
                </c:pt>
                <c:pt idx="2">
                  <c:v>1</c:v>
                </c:pt>
                <c:pt idx="3">
                  <c:v>0.95</c:v>
                </c:pt>
                <c:pt idx="4">
                  <c:v>0.95</c:v>
                </c:pt>
                <c:pt idx="5">
                  <c:v>0.96</c:v>
                </c:pt>
                <c:pt idx="6">
                  <c:v>1</c:v>
                </c:pt>
                <c:pt idx="7">
                  <c:v>1.05</c:v>
                </c:pt>
                <c:pt idx="8">
                  <c:v>1.05</c:v>
                </c:pt>
              </c:numCache>
            </c:numRef>
          </c:yVal>
          <c:smooth val="0"/>
          <c:extLst>
            <c:ext xmlns:c16="http://schemas.microsoft.com/office/drawing/2014/chart" uri="{C3380CC4-5D6E-409C-BE32-E72D297353CC}">
              <c16:uniqueId val="{00000000-9975-428F-8F38-117DC8C6805D}"/>
            </c:ext>
          </c:extLst>
        </c:ser>
        <c:ser>
          <c:idx val="1"/>
          <c:order val="1"/>
          <c:tx>
            <c:v>Workpoint</c:v>
          </c:tx>
          <c:spPr>
            <a:ln w="19050" cap="rnd">
              <a:solidFill>
                <a:srgbClr val="FF0000"/>
              </a:solidFill>
              <a:round/>
            </a:ln>
            <a:effectLst/>
          </c:spPr>
          <c:marker>
            <c:symbol val="circle"/>
            <c:size val="5"/>
            <c:spPr>
              <a:solidFill>
                <a:srgbClr val="FF0000"/>
              </a:solidFill>
              <a:ln w="9525">
                <a:solidFill>
                  <a:schemeClr val="accent2"/>
                </a:solidFill>
              </a:ln>
              <a:effectLst/>
            </c:spPr>
          </c:marker>
          <c:dLbls>
            <c:dLbl>
              <c:idx val="0"/>
              <c:layout>
                <c:manualLayout>
                  <c:x val="-1.0335917312661499E-2"/>
                  <c:y val="7.9840344457649884E-2"/>
                </c:manualLayout>
              </c:layout>
              <c:tx>
                <c:rich>
                  <a:bodyPr/>
                  <a:lstStyle/>
                  <a:p>
                    <a:fld id="{54546208-2B2F-47BF-AC3F-91914565CF9C}" type="XVALUE">
                      <a:rPr lang="en-US" b="1"/>
                      <a:pPr/>
                      <a:t>[X-VÆRDI]</a:t>
                    </a:fld>
                    <a:endParaRPr lang="da-DK"/>
                  </a:p>
                </c:rich>
              </c:tx>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975-428F-8F38-117DC8C680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'Datasheet (IKKE I BRUG)'!$U$21</c:f>
              <c:numCache>
                <c:formatCode>General</c:formatCode>
                <c:ptCount val="1"/>
                <c:pt idx="0">
                  <c:v>0.32900000000000001</c:v>
                </c:pt>
              </c:numCache>
            </c:numRef>
          </c:xVal>
          <c:yVal>
            <c:numLit>
              <c:formatCode>General</c:formatCode>
              <c:ptCount val="1"/>
              <c:pt idx="0">
                <c:v>1</c:v>
              </c:pt>
            </c:numLit>
          </c:yVal>
          <c:smooth val="0"/>
          <c:extLst>
            <c:ext xmlns:c16="http://schemas.microsoft.com/office/drawing/2014/chart" uri="{C3380CC4-5D6E-409C-BE32-E72D297353CC}">
              <c16:uniqueId val="{00000001-9975-428F-8F38-117DC8C6805D}"/>
            </c:ext>
          </c:extLst>
        </c:ser>
        <c:dLbls>
          <c:showLegendKey val="0"/>
          <c:showVal val="0"/>
          <c:showCatName val="0"/>
          <c:showSerName val="0"/>
          <c:showPercent val="0"/>
          <c:showBubbleSize val="0"/>
        </c:dLbls>
        <c:axId val="61639168"/>
        <c:axId val="61644576"/>
      </c:scatterChart>
      <c:valAx>
        <c:axId val="61639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1644576"/>
        <c:crosses val="autoZero"/>
        <c:crossBetween val="midCat"/>
      </c:valAx>
      <c:valAx>
        <c:axId val="61644576"/>
        <c:scaling>
          <c:orientation val="minMax"/>
          <c:max val="1.1000000000000001"/>
          <c:min val="0.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16391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9537738143523"/>
          <c:y val="0.10378452861558569"/>
          <c:w val="0.79326384751053369"/>
          <c:h val="0.83130252235074509"/>
        </c:manualLayout>
      </c:layout>
      <c:scatterChart>
        <c:scatterStyle val="lineMarker"/>
        <c:varyColors val="0"/>
        <c:ser>
          <c:idx val="0"/>
          <c:order val="0"/>
          <c:tx>
            <c:strRef>
              <c:f>'Datasheet (IKKE I BRUG)'!$T$20</c:f>
              <c:strCache>
                <c:ptCount val="1"/>
                <c:pt idx="0">
                  <c:v>U</c:v>
                </c:pt>
              </c:strCache>
            </c:strRef>
          </c:tx>
          <c:spPr>
            <a:ln w="19050" cap="rnd">
              <a:solidFill>
                <a:sysClr val="windowText" lastClr="000000"/>
              </a:solidFill>
              <a:round/>
            </a:ln>
            <a:effectLst/>
          </c:spPr>
          <c:marker>
            <c:symbol val="circle"/>
            <c:size val="5"/>
            <c:spPr>
              <a:solidFill>
                <a:schemeClr val="accent1">
                  <a:lumMod val="60000"/>
                  <a:lumOff val="40000"/>
                </a:schemeClr>
              </a:solidFill>
              <a:ln w="9525">
                <a:solidFill>
                  <a:sysClr val="windowText" lastClr="000000"/>
                </a:solidFill>
              </a:ln>
              <a:effectLst/>
            </c:spPr>
          </c:marker>
          <c:xVal>
            <c:numRef>
              <c:f>'Datasheet (IKKE I BRUG)'!$S$21:$S$29</c:f>
              <c:numCache>
                <c:formatCode>General</c:formatCode>
                <c:ptCount val="9"/>
                <c:pt idx="0">
                  <c:v>0</c:v>
                </c:pt>
                <c:pt idx="1">
                  <c:v>0.32900000000000001</c:v>
                </c:pt>
                <c:pt idx="2">
                  <c:v>0.32900000000000001</c:v>
                </c:pt>
                <c:pt idx="3">
                  <c:v>0.32900000000000001</c:v>
                </c:pt>
                <c:pt idx="4">
                  <c:v>0</c:v>
                </c:pt>
                <c:pt idx="5">
                  <c:v>-0.32900000000000001</c:v>
                </c:pt>
                <c:pt idx="6">
                  <c:v>-0.32900000000000001</c:v>
                </c:pt>
                <c:pt idx="7">
                  <c:v>-0.32900000000000001</c:v>
                </c:pt>
                <c:pt idx="8">
                  <c:v>0</c:v>
                </c:pt>
              </c:numCache>
            </c:numRef>
          </c:xVal>
          <c:yVal>
            <c:numRef>
              <c:f>'Datasheet (IKKE I BRUG)'!$T$21:$T$29</c:f>
              <c:numCache>
                <c:formatCode>General</c:formatCode>
                <c:ptCount val="9"/>
                <c:pt idx="0">
                  <c:v>1.05</c:v>
                </c:pt>
                <c:pt idx="1">
                  <c:v>1.04</c:v>
                </c:pt>
                <c:pt idx="2">
                  <c:v>1</c:v>
                </c:pt>
                <c:pt idx="3">
                  <c:v>0.95</c:v>
                </c:pt>
                <c:pt idx="4">
                  <c:v>0.95</c:v>
                </c:pt>
                <c:pt idx="5">
                  <c:v>0.96</c:v>
                </c:pt>
                <c:pt idx="6">
                  <c:v>1</c:v>
                </c:pt>
                <c:pt idx="7">
                  <c:v>1.05</c:v>
                </c:pt>
                <c:pt idx="8">
                  <c:v>1.05</c:v>
                </c:pt>
              </c:numCache>
            </c:numRef>
          </c:yVal>
          <c:smooth val="0"/>
          <c:extLst>
            <c:ext xmlns:c16="http://schemas.microsoft.com/office/drawing/2014/chart" uri="{C3380CC4-5D6E-409C-BE32-E72D297353CC}">
              <c16:uniqueId val="{00000000-1496-464E-99E2-62A4973FD28F}"/>
            </c:ext>
          </c:extLst>
        </c:ser>
        <c:ser>
          <c:idx val="1"/>
          <c:order val="1"/>
          <c:tx>
            <c:v>Workpoint</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'Datasheet (IKKE I BRUG)'!$U$21</c:f>
              <c:numCache>
                <c:formatCode>General</c:formatCode>
                <c:ptCount val="1"/>
                <c:pt idx="0">
                  <c:v>0.32900000000000001</c:v>
                </c:pt>
              </c:numCache>
            </c:numRef>
          </c:xVal>
          <c:yVal>
            <c:numLit>
              <c:formatCode>General</c:formatCode>
              <c:ptCount val="1"/>
              <c:pt idx="0">
                <c:v>1</c:v>
              </c:pt>
            </c:numLit>
          </c:yVal>
          <c:smooth val="0"/>
          <c:extLst>
            <c:ext xmlns:c16="http://schemas.microsoft.com/office/drawing/2014/chart" uri="{C3380CC4-5D6E-409C-BE32-E72D297353CC}">
              <c16:uniqueId val="{00000004-1496-464E-99E2-62A4973FD28F}"/>
            </c:ext>
          </c:extLst>
        </c:ser>
        <c:dLbls>
          <c:showLegendKey val="0"/>
          <c:showVal val="0"/>
          <c:showCatName val="0"/>
          <c:showSerName val="0"/>
          <c:showPercent val="0"/>
          <c:showBubbleSize val="0"/>
        </c:dLbls>
        <c:axId val="61639168"/>
        <c:axId val="61644576"/>
      </c:scatterChart>
      <c:valAx>
        <c:axId val="61639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1644576"/>
        <c:crosses val="autoZero"/>
        <c:crossBetween val="midCat"/>
      </c:valAx>
      <c:valAx>
        <c:axId val="61644576"/>
        <c:scaling>
          <c:orientation val="minMax"/>
          <c:max val="1.1000000000000001"/>
          <c:min val="0.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16391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18</xdr:col>
      <xdr:colOff>381000</xdr:colOff>
      <xdr:row>10</xdr:row>
      <xdr:rowOff>63233</xdr:rowOff>
    </xdr:from>
    <xdr:to>
      <xdr:col>25</xdr:col>
      <xdr:colOff>296143</xdr:colOff>
      <xdr:row>28</xdr:row>
      <xdr:rowOff>115175</xdr:rowOff>
    </xdr:to>
    <xdr:pic>
      <xdr:nvPicPr>
        <xdr:cNvPr id="2" name="Picture 1">
          <a:extLst>
            <a:ext uri="{FF2B5EF4-FFF2-40B4-BE49-F238E27FC236}">
              <a16:creationId xmlns:a16="http://schemas.microsoft.com/office/drawing/2014/main" id="{9A221FC3-E0BB-8089-7CE3-EC306397A41F}"/>
            </a:ext>
          </a:extLst>
        </xdr:cNvPr>
        <xdr:cNvPicPr>
          <a:picLocks noChangeAspect="1"/>
        </xdr:cNvPicPr>
      </xdr:nvPicPr>
      <xdr:blipFill>
        <a:blip xmlns:r="http://schemas.openxmlformats.org/officeDocument/2006/relationships" r:embed="rId1"/>
        <a:stretch>
          <a:fillRect/>
        </a:stretch>
      </xdr:blipFill>
      <xdr:spPr>
        <a:xfrm>
          <a:off x="11153775" y="1482458"/>
          <a:ext cx="4182343" cy="4214367"/>
        </a:xfrm>
        <a:prstGeom prst="rect">
          <a:avLst/>
        </a:prstGeom>
      </xdr:spPr>
    </xdr:pic>
    <xdr:clientData/>
  </xdr:twoCellAnchor>
  <xdr:twoCellAnchor>
    <xdr:from>
      <xdr:col>10</xdr:col>
      <xdr:colOff>438150</xdr:colOff>
      <xdr:row>13</xdr:row>
      <xdr:rowOff>190500</xdr:rowOff>
    </xdr:from>
    <xdr:to>
      <xdr:col>18</xdr:col>
      <xdr:colOff>333375</xdr:colOff>
      <xdr:row>27</xdr:row>
      <xdr:rowOff>152399</xdr:rowOff>
    </xdr:to>
    <xdr:graphicFrame macro="">
      <xdr:nvGraphicFramePr>
        <xdr:cNvPr id="4" name="Chart 3">
          <a:extLst>
            <a:ext uri="{FF2B5EF4-FFF2-40B4-BE49-F238E27FC236}">
              <a16:creationId xmlns:a16="http://schemas.microsoft.com/office/drawing/2014/main" id="{403EC96F-C7D9-43A7-BDAC-7215FD0A0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19050</xdr:colOff>
      <xdr:row>19</xdr:row>
      <xdr:rowOff>0</xdr:rowOff>
    </xdr:from>
    <xdr:to>
      <xdr:col>17</xdr:col>
      <xdr:colOff>543793</xdr:colOff>
      <xdr:row>41</xdr:row>
      <xdr:rowOff>23367</xdr:rowOff>
    </xdr:to>
    <xdr:pic>
      <xdr:nvPicPr>
        <xdr:cNvPr id="2" name="Picture 1">
          <a:extLst>
            <a:ext uri="{FF2B5EF4-FFF2-40B4-BE49-F238E27FC236}">
              <a16:creationId xmlns:a16="http://schemas.microsoft.com/office/drawing/2014/main" id="{86C564EF-36B1-4969-A681-F4350E04D2B4}"/>
            </a:ext>
          </a:extLst>
        </xdr:cNvPr>
        <xdr:cNvPicPr>
          <a:picLocks noChangeAspect="1"/>
        </xdr:cNvPicPr>
      </xdr:nvPicPr>
      <xdr:blipFill>
        <a:blip xmlns:r="http://schemas.openxmlformats.org/officeDocument/2006/relationships" r:embed="rId1"/>
        <a:stretch>
          <a:fillRect/>
        </a:stretch>
      </xdr:blipFill>
      <xdr:spPr>
        <a:xfrm>
          <a:off x="7734300" y="2286000"/>
          <a:ext cx="4182343" cy="4214367"/>
        </a:xfrm>
        <a:prstGeom prst="rect">
          <a:avLst/>
        </a:prstGeom>
      </xdr:spPr>
    </xdr:pic>
    <xdr:clientData/>
  </xdr:twoCellAnchor>
  <xdr:twoCellAnchor>
    <xdr:from>
      <xdr:col>10</xdr:col>
      <xdr:colOff>323850</xdr:colOff>
      <xdr:row>42</xdr:row>
      <xdr:rowOff>76200</xdr:rowOff>
    </xdr:from>
    <xdr:to>
      <xdr:col>18</xdr:col>
      <xdr:colOff>142876</xdr:colOff>
      <xdr:row>62</xdr:row>
      <xdr:rowOff>57149</xdr:rowOff>
    </xdr:to>
    <xdr:graphicFrame macro="">
      <xdr:nvGraphicFramePr>
        <xdr:cNvPr id="3" name="Chart 2">
          <a:extLst>
            <a:ext uri="{FF2B5EF4-FFF2-40B4-BE49-F238E27FC236}">
              <a16:creationId xmlns:a16="http://schemas.microsoft.com/office/drawing/2014/main" id="{06FC2845-FE8D-67FE-88BE-AEF543AA1A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352425</xdr:colOff>
      <xdr:row>28</xdr:row>
      <xdr:rowOff>57150</xdr:rowOff>
    </xdr:from>
    <xdr:to>
      <xdr:col>14</xdr:col>
      <xdr:colOff>123825</xdr:colOff>
      <xdr:row>31</xdr:row>
      <xdr:rowOff>178254</xdr:rowOff>
    </xdr:to>
    <xdr:pic>
      <xdr:nvPicPr>
        <xdr:cNvPr id="2" name="Billede 18">
          <a:extLst>
            <a:ext uri="{FF2B5EF4-FFF2-40B4-BE49-F238E27FC236}">
              <a16:creationId xmlns:a16="http://schemas.microsoft.com/office/drawing/2014/main" id="{096C5DBF-BB97-4FC8-AC3D-182FD6464A4A}"/>
            </a:ext>
          </a:extLst>
        </xdr:cNvPr>
        <xdr:cNvPicPr>
          <a:picLocks noChangeAspect="1"/>
        </xdr:cNvPicPr>
      </xdr:nvPicPr>
      <xdr:blipFill rotWithShape="1">
        <a:blip xmlns:r="http://schemas.openxmlformats.org/officeDocument/2006/relationships" r:embed="rId1"/>
        <a:srcRect l="207" t="-1437" r="12115" b="802"/>
        <a:stretch/>
      </xdr:blipFill>
      <xdr:spPr>
        <a:xfrm>
          <a:off x="2152650" y="6829425"/>
          <a:ext cx="14325600" cy="816429"/>
        </a:xfrm>
        <a:prstGeom prst="rect">
          <a:avLst/>
        </a:prstGeom>
      </xdr:spPr>
    </xdr:pic>
    <xdr:clientData/>
  </xdr:twoCellAnchor>
  <xdr:twoCellAnchor editAs="oneCell">
    <xdr:from>
      <xdr:col>0</xdr:col>
      <xdr:colOff>171451</xdr:colOff>
      <xdr:row>28</xdr:row>
      <xdr:rowOff>38101</xdr:rowOff>
    </xdr:from>
    <xdr:to>
      <xdr:col>2</xdr:col>
      <xdr:colOff>466726</xdr:colOff>
      <xdr:row>31</xdr:row>
      <xdr:rowOff>153577</xdr:rowOff>
    </xdr:to>
    <xdr:pic>
      <xdr:nvPicPr>
        <xdr:cNvPr id="3" name="Billede 5">
          <a:extLst>
            <a:ext uri="{FF2B5EF4-FFF2-40B4-BE49-F238E27FC236}">
              <a16:creationId xmlns:a16="http://schemas.microsoft.com/office/drawing/2014/main" id="{0028AFFA-D33B-406D-AD21-E3BD521810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1" y="6810376"/>
          <a:ext cx="1485900" cy="801276"/>
        </a:xfrm>
        <a:prstGeom prst="rect">
          <a:avLst/>
        </a:prstGeom>
      </xdr:spPr>
    </xdr:pic>
    <xdr:clientData/>
  </xdr:twoCellAnchor>
  <xdr:twoCellAnchor editAs="oneCell">
    <xdr:from>
      <xdr:col>9</xdr:col>
      <xdr:colOff>66675</xdr:colOff>
      <xdr:row>0</xdr:row>
      <xdr:rowOff>38100</xdr:rowOff>
    </xdr:from>
    <xdr:to>
      <xdr:col>31</xdr:col>
      <xdr:colOff>495300</xdr:colOff>
      <xdr:row>1</xdr:row>
      <xdr:rowOff>797379</xdr:rowOff>
    </xdr:to>
    <xdr:pic>
      <xdr:nvPicPr>
        <xdr:cNvPr id="4" name="Billede 18">
          <a:extLst>
            <a:ext uri="{FF2B5EF4-FFF2-40B4-BE49-F238E27FC236}">
              <a16:creationId xmlns:a16="http://schemas.microsoft.com/office/drawing/2014/main" id="{DCEA4BB5-4909-4093-B767-751B8E4DAA64}"/>
            </a:ext>
          </a:extLst>
        </xdr:cNvPr>
        <xdr:cNvPicPr>
          <a:picLocks noChangeAspect="1"/>
        </xdr:cNvPicPr>
      </xdr:nvPicPr>
      <xdr:blipFill rotWithShape="1">
        <a:blip xmlns:r="http://schemas.openxmlformats.org/officeDocument/2006/relationships" r:embed="rId1"/>
        <a:srcRect l="207" t="-1437" r="12115" b="802"/>
        <a:stretch/>
      </xdr:blipFill>
      <xdr:spPr>
        <a:xfrm>
          <a:off x="12163425" y="38100"/>
          <a:ext cx="14325600" cy="8164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49880-7986-4F93-A657-22030EE1C62C}">
  <dimension ref="A1:I15"/>
  <sheetViews>
    <sheetView zoomScaleNormal="100" workbookViewId="0">
      <selection activeCell="A2" sqref="A2"/>
    </sheetView>
  </sheetViews>
  <sheetFormatPr defaultRowHeight="18" x14ac:dyDescent="0.35"/>
  <cols>
    <col min="1" max="1" width="9.140625" style="3"/>
    <col min="2" max="2" width="1.7109375" style="3" customWidth="1"/>
    <col min="3" max="3" width="9.140625" style="3"/>
    <col min="4" max="4" width="11.5703125" style="3" customWidth="1"/>
    <col min="5" max="5" width="27.140625" style="3" customWidth="1"/>
    <col min="6" max="6" width="15.140625" style="3" customWidth="1"/>
    <col min="7" max="7" width="6.7109375" style="3" customWidth="1"/>
    <col min="8" max="8" width="2.85546875" style="3" customWidth="1"/>
    <col min="9" max="16384" width="9.140625" style="3"/>
  </cols>
  <sheetData>
    <row r="1" spans="1:9" ht="18.75" thickBot="1" x14ac:dyDescent="0.4">
      <c r="A1" s="3" t="s">
        <v>65</v>
      </c>
    </row>
    <row r="2" spans="1:9" ht="18.75" thickBot="1" x14ac:dyDescent="0.4">
      <c r="E2" s="60"/>
      <c r="F2" s="61"/>
    </row>
    <row r="4" spans="1:9" ht="18.75" thickBot="1" x14ac:dyDescent="0.4"/>
    <row r="5" spans="1:9" ht="18.75" thickBot="1" x14ac:dyDescent="0.4">
      <c r="C5" s="3" t="s">
        <v>21</v>
      </c>
      <c r="E5" s="10" t="s">
        <v>4</v>
      </c>
      <c r="F5" s="3" t="str">
        <f>IF(E5="A","OBS. Kategori A anlæg kan kun tilsluttes lavspændingsnettet",IF(E5="","Vælg anlæggets kategori",""))</f>
        <v/>
      </c>
    </row>
    <row r="6" spans="1:9" ht="18.75" thickBot="1" x14ac:dyDescent="0.4"/>
    <row r="7" spans="1:9" ht="18.75" thickBot="1" x14ac:dyDescent="0.4">
      <c r="C7" s="3" t="s">
        <v>24</v>
      </c>
      <c r="E7" s="11" t="s">
        <v>26</v>
      </c>
    </row>
    <row r="8" spans="1:9" ht="18.75" thickBot="1" x14ac:dyDescent="0.4"/>
    <row r="9" spans="1:9" ht="18.75" thickBot="1" x14ac:dyDescent="0.4">
      <c r="C9" s="3" t="s">
        <v>15</v>
      </c>
      <c r="F9" s="5">
        <v>50</v>
      </c>
      <c r="G9" s="3" t="s">
        <v>16</v>
      </c>
      <c r="H9" s="9" t="s">
        <v>18</v>
      </c>
      <c r="I9" s="3" t="str">
        <f>IF(F9&gt;1,'Datasheet (IKKE I BRUG)'!F4,'Datasheet (IKKE I BRUG)'!F3)</f>
        <v>Mellem/Højspænding</v>
      </c>
    </row>
    <row r="10" spans="1:9" ht="18.75" thickBot="1" x14ac:dyDescent="0.4"/>
    <row r="11" spans="1:9" ht="18.75" thickBot="1" x14ac:dyDescent="0.4">
      <c r="C11" s="3" t="s">
        <v>6</v>
      </c>
      <c r="F11" s="5">
        <v>50</v>
      </c>
      <c r="G11" s="3" t="s">
        <v>7</v>
      </c>
    </row>
    <row r="12" spans="1:9" ht="18.75" thickBot="1" x14ac:dyDescent="0.4">
      <c r="F12" s="6"/>
    </row>
    <row r="13" spans="1:9" ht="18.75" thickBot="1" x14ac:dyDescent="0.4">
      <c r="C13" s="3" t="s">
        <v>13</v>
      </c>
      <c r="F13" s="7">
        <f>'Datasheet (IKKE I BRUG)'!C18</f>
        <v>16.45</v>
      </c>
      <c r="G13" s="3" t="s">
        <v>14</v>
      </c>
    </row>
    <row r="14" spans="1:9" ht="18.75" thickBot="1" x14ac:dyDescent="0.4"/>
    <row r="15" spans="1:9" ht="18.75" thickBot="1" x14ac:dyDescent="0.4">
      <c r="C15" s="3" t="s">
        <v>8</v>
      </c>
      <c r="F15" s="8">
        <f>'Datasheet (IKKE I BRUG)'!C19</f>
        <v>52.636512992408605</v>
      </c>
      <c r="G15" s="3" t="s">
        <v>9</v>
      </c>
    </row>
  </sheetData>
  <mergeCells count="1">
    <mergeCell ref="E2:F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9E25B21-83D8-46EB-8265-59EEE78FF1E1}">
          <x14:formula1>
            <xm:f>'Datasheet (IKKE I BRUG)'!$B$3:$B$7</xm:f>
          </x14:formula1>
          <xm:sqref>E5</xm:sqref>
        </x14:dataValidation>
        <x14:dataValidation type="list" allowBlank="1" showInputMessage="1" showErrorMessage="1" xr:uid="{74B6D858-9BBE-41F2-AFFA-A397FF941EE3}">
          <x14:formula1>
            <xm:f>'Datasheet (IKKE I BRUG)'!$H$3:$H$4</xm:f>
          </x14:formula1>
          <xm:sqref>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9A569-B74C-4434-842A-E12E50AB3BC3}">
  <dimension ref="A1:U29"/>
  <sheetViews>
    <sheetView workbookViewId="0">
      <selection activeCell="C33" sqref="C33"/>
    </sheetView>
  </sheetViews>
  <sheetFormatPr defaultRowHeight="15" x14ac:dyDescent="0.25"/>
  <cols>
    <col min="2" max="2" width="20" bestFit="1" customWidth="1"/>
    <col min="4" max="4" width="10.140625" customWidth="1"/>
    <col min="6" max="6" width="20.5703125" customWidth="1"/>
    <col min="8" max="8" width="25.42578125" customWidth="1"/>
  </cols>
  <sheetData>
    <row r="1" spans="1:8" x14ac:dyDescent="0.25">
      <c r="A1" t="s">
        <v>66</v>
      </c>
    </row>
    <row r="2" spans="1:8" x14ac:dyDescent="0.25">
      <c r="B2" s="1" t="s">
        <v>27</v>
      </c>
      <c r="D2" s="1" t="s">
        <v>5</v>
      </c>
      <c r="F2" s="4" t="s">
        <v>17</v>
      </c>
      <c r="H2" s="4" t="s">
        <v>28</v>
      </c>
    </row>
    <row r="3" spans="1:8" x14ac:dyDescent="0.25">
      <c r="B3" s="2"/>
      <c r="D3" s="4" t="s">
        <v>10</v>
      </c>
      <c r="F3" s="2" t="s">
        <v>22</v>
      </c>
      <c r="H3" s="2" t="s">
        <v>25</v>
      </c>
    </row>
    <row r="4" spans="1:8" x14ac:dyDescent="0.25">
      <c r="B4" s="2" t="s">
        <v>1</v>
      </c>
      <c r="D4" s="4">
        <v>0.32900000000000001</v>
      </c>
      <c r="F4" s="2" t="s">
        <v>23</v>
      </c>
      <c r="H4" s="2" t="s">
        <v>26</v>
      </c>
    </row>
    <row r="5" spans="1:8" x14ac:dyDescent="0.25">
      <c r="B5" s="2" t="s">
        <v>2</v>
      </c>
      <c r="D5" s="4">
        <v>0.32900000000000001</v>
      </c>
    </row>
    <row r="6" spans="1:8" x14ac:dyDescent="0.25">
      <c r="B6" s="2" t="s">
        <v>3</v>
      </c>
      <c r="D6" s="4">
        <v>0.32900000000000001</v>
      </c>
    </row>
    <row r="7" spans="1:8" x14ac:dyDescent="0.25">
      <c r="B7" s="2" t="s">
        <v>4</v>
      </c>
      <c r="D7" s="4">
        <v>0.32900000000000001</v>
      </c>
    </row>
    <row r="8" spans="1:8" x14ac:dyDescent="0.25">
      <c r="D8" s="4">
        <v>0.4</v>
      </c>
    </row>
    <row r="16" spans="1:8" x14ac:dyDescent="0.25">
      <c r="B16" s="4" t="s">
        <v>29</v>
      </c>
      <c r="C16" s="2">
        <f>IF('Sheet1 (IKKE I BRUG)'!E5='Datasheet (IKKE I BRUG)'!B4,'Datasheet (IKKE I BRUG)'!D4,IF('Sheet1 (IKKE I BRUG)'!E5=B5,D5,IF('Sheet1 (IKKE I BRUG)'!E5=B6,D6,IF('Sheet1 (IKKE I BRUG)'!E5=B7,D7,D3))))</f>
        <v>0.32900000000000001</v>
      </c>
    </row>
    <row r="17" spans="2:21" x14ac:dyDescent="0.25">
      <c r="B17" s="4" t="s">
        <v>30</v>
      </c>
      <c r="C17" s="2">
        <f>IF('Sheet1 (IKKE I BRUG)'!E7='Datasheet (IKKE I BRUG)'!H4,'Datasheet (IKKE I BRUG)'!C16,'Datasheet (IKKE I BRUG)'!D8)</f>
        <v>0.32900000000000001</v>
      </c>
    </row>
    <row r="18" spans="2:21" x14ac:dyDescent="0.25">
      <c r="B18" s="4" t="s">
        <v>12</v>
      </c>
      <c r="C18" s="2">
        <f>'Sheet1 (IKKE I BRUG)'!F11*'Datasheet (IKKE I BRUG)'!C17</f>
        <v>16.45</v>
      </c>
    </row>
    <row r="19" spans="2:21" x14ac:dyDescent="0.25">
      <c r="B19" s="4" t="s">
        <v>11</v>
      </c>
      <c r="C19" s="2">
        <f>SQRT(('Sheet1 (IKKE I BRUG)'!F11)^2+('Datasheet (IKKE I BRUG)'!C18)^2)</f>
        <v>52.636512992408605</v>
      </c>
    </row>
    <row r="20" spans="2:21" x14ac:dyDescent="0.25">
      <c r="S20" t="s">
        <v>0</v>
      </c>
      <c r="T20" t="s">
        <v>19</v>
      </c>
      <c r="U20" t="s">
        <v>20</v>
      </c>
    </row>
    <row r="21" spans="2:21" x14ac:dyDescent="0.25">
      <c r="S21">
        <v>0</v>
      </c>
      <c r="T21">
        <v>1.05</v>
      </c>
      <c r="U21">
        <f>'Datasheet (IKKE I BRUG)'!C17</f>
        <v>0.32900000000000001</v>
      </c>
    </row>
    <row r="22" spans="2:21" x14ac:dyDescent="0.25">
      <c r="S22">
        <v>0.32900000000000001</v>
      </c>
      <c r="T22">
        <v>1.04</v>
      </c>
    </row>
    <row r="23" spans="2:21" x14ac:dyDescent="0.25">
      <c r="S23">
        <v>0.32900000000000001</v>
      </c>
      <c r="T23">
        <v>1</v>
      </c>
    </row>
    <row r="24" spans="2:21" x14ac:dyDescent="0.25">
      <c r="S24">
        <v>0.32900000000000001</v>
      </c>
      <c r="T24">
        <v>0.95</v>
      </c>
    </row>
    <row r="25" spans="2:21" x14ac:dyDescent="0.25">
      <c r="S25">
        <v>0</v>
      </c>
      <c r="T25">
        <v>0.95</v>
      </c>
    </row>
    <row r="26" spans="2:21" x14ac:dyDescent="0.25">
      <c r="S26">
        <v>-0.32900000000000001</v>
      </c>
      <c r="T26">
        <v>0.96</v>
      </c>
    </row>
    <row r="27" spans="2:21" x14ac:dyDescent="0.25">
      <c r="S27">
        <v>-0.32900000000000001</v>
      </c>
      <c r="T27">
        <v>1</v>
      </c>
    </row>
    <row r="28" spans="2:21" x14ac:dyDescent="0.25">
      <c r="S28">
        <v>-0.32900000000000001</v>
      </c>
      <c r="T28">
        <v>1.05</v>
      </c>
    </row>
    <row r="29" spans="2:21" x14ac:dyDescent="0.25">
      <c r="S29">
        <v>0</v>
      </c>
      <c r="T29">
        <v>1.05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AF86B-B634-4F4E-83B2-B042DF3CE702}">
  <dimension ref="A1:X31"/>
  <sheetViews>
    <sheetView showGridLines="0" showRowColHeaders="0" tabSelected="1" zoomScaleNormal="100" workbookViewId="0">
      <selection activeCell="O28" sqref="O28"/>
    </sheetView>
  </sheetViews>
  <sheetFormatPr defaultRowHeight="18" x14ac:dyDescent="0.25"/>
  <cols>
    <col min="1" max="1" width="8.7109375" style="16" customWidth="1"/>
    <col min="2" max="6" width="9.140625" style="16"/>
    <col min="7" max="7" width="71.140625" style="16" customWidth="1"/>
    <col min="8" max="8" width="1.42578125" style="16" customWidth="1"/>
    <col min="9" max="9" width="54.42578125" style="16" customWidth="1"/>
    <col min="10" max="10" width="10.7109375" style="16" bestFit="1" customWidth="1"/>
    <col min="11" max="11" width="14" style="16" customWidth="1"/>
    <col min="12" max="12" width="10.7109375" style="16" bestFit="1" customWidth="1"/>
    <col min="13" max="13" width="15.5703125" style="16" customWidth="1"/>
    <col min="14" max="14" width="12.85546875" style="16" bestFit="1" customWidth="1"/>
    <col min="15" max="15" width="8.28515625" style="16" customWidth="1"/>
    <col min="16" max="16" width="5" style="16" customWidth="1"/>
    <col min="17" max="17" width="2" style="16" customWidth="1"/>
    <col min="18" max="18" width="9.7109375" style="16" customWidth="1"/>
    <col min="19" max="19" width="9.140625" style="16"/>
    <col min="20" max="20" width="9.140625" style="16" customWidth="1"/>
    <col min="21" max="21" width="9.85546875" style="16" customWidth="1"/>
    <col min="22" max="16384" width="9.140625" style="16"/>
  </cols>
  <sheetData>
    <row r="1" spans="1:24" ht="5.0999999999999996" customHeight="1" x14ac:dyDescent="0.25"/>
    <row r="2" spans="1:24" ht="74.25" customHeight="1" x14ac:dyDescent="0.25">
      <c r="A2" s="62" t="s">
        <v>72</v>
      </c>
      <c r="B2" s="62"/>
      <c r="C2" s="62"/>
      <c r="D2" s="62"/>
      <c r="E2" s="62"/>
      <c r="F2" s="62"/>
      <c r="G2" s="62"/>
      <c r="H2" s="62"/>
      <c r="I2" s="62"/>
      <c r="J2" s="62"/>
      <c r="K2" s="62"/>
      <c r="L2" s="40"/>
      <c r="M2" s="40"/>
      <c r="N2" s="40"/>
      <c r="O2" s="40"/>
      <c r="P2" s="40"/>
      <c r="Q2" s="40"/>
      <c r="R2" s="40"/>
      <c r="S2" s="40"/>
      <c r="T2" s="40"/>
      <c r="U2" s="40"/>
      <c r="V2" s="40"/>
      <c r="W2" s="40"/>
      <c r="X2" s="40"/>
    </row>
    <row r="3" spans="1:24" ht="5.0999999999999996" customHeight="1" x14ac:dyDescent="0.25"/>
    <row r="4" spans="1:24" ht="18" customHeight="1" thickBot="1" x14ac:dyDescent="0.3">
      <c r="B4" s="69" t="s">
        <v>82</v>
      </c>
      <c r="C4" s="69"/>
      <c r="D4" s="69"/>
      <c r="E4" s="69"/>
      <c r="F4" s="69"/>
      <c r="G4" s="69"/>
    </row>
    <row r="5" spans="1:24" ht="18" customHeight="1" thickTop="1" x14ac:dyDescent="0.25">
      <c r="B5" s="69"/>
      <c r="C5" s="69"/>
      <c r="D5" s="69"/>
      <c r="E5" s="69"/>
      <c r="F5" s="69"/>
      <c r="G5" s="69"/>
      <c r="I5" s="55" t="s">
        <v>37</v>
      </c>
      <c r="J5" s="18"/>
      <c r="K5" s="18"/>
      <c r="L5" s="18"/>
      <c r="M5" s="18"/>
      <c r="N5" s="19"/>
    </row>
    <row r="6" spans="1:24" ht="18" customHeight="1" x14ac:dyDescent="0.25">
      <c r="B6" s="69"/>
      <c r="C6" s="69"/>
      <c r="D6" s="69"/>
      <c r="E6" s="69"/>
      <c r="F6" s="69"/>
      <c r="G6" s="69"/>
      <c r="I6" s="56"/>
      <c r="J6" s="20"/>
      <c r="K6" s="20"/>
      <c r="L6" s="20"/>
      <c r="M6" s="20"/>
      <c r="N6" s="21"/>
    </row>
    <row r="7" spans="1:24" ht="18" customHeight="1" x14ac:dyDescent="0.25">
      <c r="B7" s="69"/>
      <c r="C7" s="69"/>
      <c r="D7" s="69"/>
      <c r="E7" s="69"/>
      <c r="F7" s="69"/>
      <c r="G7" s="69"/>
      <c r="I7" s="59" t="s">
        <v>75</v>
      </c>
      <c r="J7" s="65"/>
      <c r="K7" s="66"/>
      <c r="L7" s="66"/>
      <c r="M7" s="67"/>
      <c r="N7" s="21"/>
    </row>
    <row r="8" spans="1:24" ht="18" customHeight="1" x14ac:dyDescent="0.25">
      <c r="B8" s="69"/>
      <c r="C8" s="69"/>
      <c r="D8" s="69"/>
      <c r="E8" s="69"/>
      <c r="F8" s="69"/>
      <c r="G8" s="69"/>
      <c r="I8" s="56"/>
      <c r="J8" s="20"/>
      <c r="K8" s="20"/>
      <c r="L8" s="20"/>
      <c r="M8" s="20"/>
      <c r="N8" s="21"/>
    </row>
    <row r="9" spans="1:24" ht="18" customHeight="1" x14ac:dyDescent="0.25">
      <c r="B9" s="69"/>
      <c r="C9" s="69"/>
      <c r="D9" s="69"/>
      <c r="E9" s="69"/>
      <c r="F9" s="69"/>
      <c r="G9" s="69"/>
      <c r="I9" s="59" t="s">
        <v>76</v>
      </c>
      <c r="J9" s="65"/>
      <c r="K9" s="66"/>
      <c r="L9" s="66"/>
      <c r="M9" s="67"/>
      <c r="N9" s="21"/>
    </row>
    <row r="10" spans="1:24" ht="18" customHeight="1" x14ac:dyDescent="0.25">
      <c r="B10" s="69"/>
      <c r="C10" s="69"/>
      <c r="D10" s="69"/>
      <c r="E10" s="69"/>
      <c r="F10" s="69"/>
      <c r="G10" s="69"/>
      <c r="I10" s="56"/>
      <c r="J10" s="20"/>
      <c r="K10" s="20"/>
      <c r="L10" s="20"/>
      <c r="M10" s="20"/>
      <c r="N10" s="21"/>
    </row>
    <row r="11" spans="1:24" ht="18" customHeight="1" x14ac:dyDescent="0.25">
      <c r="B11" s="69"/>
      <c r="C11" s="69"/>
      <c r="D11" s="69"/>
      <c r="E11" s="69"/>
      <c r="F11" s="69"/>
      <c r="G11" s="69"/>
      <c r="I11" s="59" t="s">
        <v>77</v>
      </c>
      <c r="J11" s="65"/>
      <c r="K11" s="66"/>
      <c r="L11" s="66"/>
      <c r="M11" s="67"/>
      <c r="N11" s="21"/>
    </row>
    <row r="12" spans="1:24" ht="18" customHeight="1" x14ac:dyDescent="0.25">
      <c r="B12" s="69"/>
      <c r="C12" s="69"/>
      <c r="D12" s="69"/>
      <c r="E12" s="69"/>
      <c r="F12" s="69"/>
      <c r="G12" s="69"/>
      <c r="I12" s="56"/>
      <c r="J12" s="49" t="str">
        <f>IF(Datasheet!L18=4,IF(AND(OR(J11=Datasheet!D13,J11=Datasheet!D14),Udregner!J13&lt;1),"OBS. Kategori C eller D kan ikke kobles på lavspændingsnettet",""),"")</f>
        <v/>
      </c>
      <c r="K12" s="20"/>
      <c r="L12" s="20"/>
      <c r="M12" s="20"/>
      <c r="N12" s="21"/>
    </row>
    <row r="13" spans="1:24" ht="18" customHeight="1" x14ac:dyDescent="0.25">
      <c r="B13" s="69"/>
      <c r="C13" s="69"/>
      <c r="D13" s="69"/>
      <c r="E13" s="69"/>
      <c r="F13" s="69"/>
      <c r="G13" s="69"/>
      <c r="I13" s="59" t="s">
        <v>74</v>
      </c>
      <c r="J13" s="65"/>
      <c r="K13" s="66"/>
      <c r="L13" s="66"/>
      <c r="M13" s="67"/>
      <c r="N13" s="21" t="s">
        <v>16</v>
      </c>
    </row>
    <row r="14" spans="1:24" ht="18" customHeight="1" thickBot="1" x14ac:dyDescent="0.3">
      <c r="B14" s="69"/>
      <c r="C14" s="69"/>
      <c r="D14" s="69"/>
      <c r="E14" s="69"/>
      <c r="F14" s="69"/>
      <c r="G14" s="69"/>
      <c r="I14" s="22"/>
      <c r="J14" s="48" t="str">
        <f>IF(AND(J13&gt;=1,J11=Datasheet!D11),"OBS. Kategori A anlæg kan kun tilsluttes lavspændingsnettet","")</f>
        <v/>
      </c>
      <c r="K14" s="23"/>
      <c r="L14" s="23"/>
      <c r="M14" s="23"/>
      <c r="N14" s="24"/>
    </row>
    <row r="15" spans="1:24" ht="18" customHeight="1" thickTop="1" thickBot="1" x14ac:dyDescent="0.3">
      <c r="B15" s="69"/>
      <c r="C15" s="69"/>
      <c r="D15" s="69"/>
      <c r="E15" s="69"/>
      <c r="F15" s="69"/>
      <c r="G15" s="69"/>
    </row>
    <row r="16" spans="1:24" ht="18" customHeight="1" thickTop="1" x14ac:dyDescent="0.25">
      <c r="B16" s="69"/>
      <c r="C16" s="69"/>
      <c r="D16" s="69"/>
      <c r="E16" s="69"/>
      <c r="F16" s="69"/>
      <c r="G16" s="69"/>
      <c r="I16" s="53" t="str">
        <f>IF(Datasheet!L18=4,"Indtastning 2","Udfyld hele Indtastning 1 først")</f>
        <v>Udfyld hele Indtastning 1 først</v>
      </c>
      <c r="J16" s="25"/>
      <c r="K16" s="25"/>
      <c r="L16" s="25"/>
      <c r="M16" s="25"/>
      <c r="N16" s="26"/>
    </row>
    <row r="17" spans="2:21" ht="18" customHeight="1" x14ac:dyDescent="0.25">
      <c r="B17" s="69"/>
      <c r="C17" s="69"/>
      <c r="D17" s="69"/>
      <c r="E17" s="69"/>
      <c r="F17" s="69"/>
      <c r="G17" s="69"/>
      <c r="I17" s="54"/>
      <c r="J17" s="44"/>
      <c r="K17" s="44"/>
      <c r="L17" s="44"/>
      <c r="M17" s="44"/>
      <c r="N17" s="27"/>
    </row>
    <row r="18" spans="2:21" ht="18" customHeight="1" x14ac:dyDescent="0.25">
      <c r="B18" s="69"/>
      <c r="C18" s="69"/>
      <c r="D18" s="69"/>
      <c r="E18" s="69"/>
      <c r="F18" s="69"/>
      <c r="G18" s="69"/>
      <c r="I18" s="57" t="str">
        <f>IF(Datasheet!L18=4,IF(J7=Datasheet!D3,Datasheet!E6,IF(J7=Datasheet!D4,Datasheet!E5,"")),"")</f>
        <v/>
      </c>
      <c r="J18" s="64"/>
      <c r="K18" s="64"/>
      <c r="L18" s="64"/>
      <c r="M18" s="64"/>
      <c r="N18" s="27" t="str">
        <f>IF(Datasheet!L18=4,IF(J7=Datasheet!D4,"MVA",IF(J7=Datasheet!D3,"MW","")),"")</f>
        <v/>
      </c>
    </row>
    <row r="19" spans="2:21" ht="18" customHeight="1" thickBot="1" x14ac:dyDescent="0.3">
      <c r="B19" s="69"/>
      <c r="C19" s="69"/>
      <c r="D19" s="69"/>
      <c r="E19" s="69"/>
      <c r="F19" s="69"/>
      <c r="G19" s="69"/>
      <c r="I19" s="28"/>
      <c r="J19" s="47" t="str">
        <f>IF(Datasheet!L20=5,IF(AND(J11=Datasheet!D11,Udregner!J18&gt;=0.125,J7=Datasheet!D3),"OBS. Kategori A dækker kun anlæg under 125kW",IF(OR(AND(J11=Datasheet!D12,Udregner!J18&gt;=3,J7=Datasheet!D3),AND(J11=Datasheet!D12,Udregner!J18&lt;0.125,J7=Datasheet!D3)),"OBS. Kategori B dækker kun anlæg fra 125kW og op til 3MW",IF(OR(AND(J11=Datasheet!D13,Udregner!J18&gt;=25,J7=Datasheet!D3),AND(J11=Datasheet!D13,Udregner!J18&lt;3,J7=Datasheet!D3)),"OBS. Kategori C dækker kun anlæg fra 3MW og op til 25MW",IF(AND(J11=Datasheet!D14,Udregner!J18&lt;25,J7=Datasheet!D3),"OBS. Kategori D dækker kun anlæg over 25MW","")))),"")</f>
        <v/>
      </c>
      <c r="K19" s="29"/>
      <c r="L19" s="29"/>
      <c r="M19" s="29"/>
      <c r="N19" s="30"/>
    </row>
    <row r="20" spans="2:21" ht="18" customHeight="1" thickTop="1" thickBot="1" x14ac:dyDescent="0.3">
      <c r="B20" s="69"/>
      <c r="C20" s="69"/>
      <c r="D20" s="69"/>
      <c r="E20" s="69"/>
      <c r="F20" s="69"/>
      <c r="G20" s="69"/>
    </row>
    <row r="21" spans="2:21" ht="18" customHeight="1" thickTop="1" x14ac:dyDescent="0.25">
      <c r="B21" s="69"/>
      <c r="C21" s="69"/>
      <c r="D21" s="69"/>
      <c r="E21" s="69"/>
      <c r="F21" s="69"/>
      <c r="G21" s="69"/>
      <c r="I21" s="51" t="s">
        <v>49</v>
      </c>
      <c r="J21" s="31"/>
      <c r="K21" s="31"/>
      <c r="L21" s="31"/>
      <c r="M21" s="31"/>
      <c r="N21" s="32"/>
    </row>
    <row r="22" spans="2:21" ht="18" customHeight="1" x14ac:dyDescent="0.25">
      <c r="B22" s="69"/>
      <c r="C22" s="69"/>
      <c r="D22" s="69"/>
      <c r="E22" s="69"/>
      <c r="F22" s="69"/>
      <c r="G22" s="69"/>
      <c r="I22" s="52"/>
      <c r="J22" s="45"/>
      <c r="K22" s="45"/>
      <c r="L22" s="45"/>
      <c r="M22" s="45"/>
      <c r="N22" s="33"/>
    </row>
    <row r="23" spans="2:21" ht="18" customHeight="1" x14ac:dyDescent="0.25">
      <c r="B23" s="69"/>
      <c r="C23" s="69"/>
      <c r="D23" s="69"/>
      <c r="E23" s="69"/>
      <c r="F23" s="69"/>
      <c r="G23" s="69"/>
      <c r="I23" s="58" t="str">
        <f>IF(N23&lt;&gt;"",IF(J7=Datasheet!D3,Datasheet!E3,IF(Udregner!J7=Datasheet!D4,Datasheet!E4,"")),"")</f>
        <v/>
      </c>
      <c r="J23" s="63" t="str">
        <f>Datasheet!L5</f>
        <v/>
      </c>
      <c r="K23" s="63"/>
      <c r="L23" s="63"/>
      <c r="M23" s="63"/>
      <c r="N23" s="33" t="str">
        <f>IF(J18&gt;0,IF(N18="MW","MVA",IF(N18="MVA","MW","")),"")</f>
        <v/>
      </c>
    </row>
    <row r="24" spans="2:21" ht="18" customHeight="1" thickBot="1" x14ac:dyDescent="0.3">
      <c r="B24" s="69"/>
      <c r="C24" s="69"/>
      <c r="D24" s="69"/>
      <c r="E24" s="69"/>
      <c r="F24" s="69"/>
      <c r="G24" s="69"/>
      <c r="I24" s="34"/>
      <c r="J24" s="46" t="str">
        <f>IF(Datasheet!L20=5,IF(AND(J11=Datasheet!D11,Udregner!J23&gt;=0.125,J7=Datasheet!D4),"OBS. Kategori A dækker kun anlæg under 125kW",IF(OR(AND(J11=Datasheet!D12,Udregner!J23&gt;=3,J7=Datasheet!D4),AND(J11=Datasheet!D12,Udregner!J23&lt;0.125,J7=Datasheet!D4)),"OBS. Kategori B dækker kun anlæg fra 125kW og op til 3MW",IF(OR(AND(J11=Datasheet!D13,Udregner!J23&gt;=25,J7=Datasheet!D4),AND(J11=Datasheet!D13,Udregner!J23&lt;3,J7=Datasheet!D4)),"OBS. Kategori C dækker kun anlæg fra 3MW og op til 25MW",IF(AND(J11=Datasheet!D14,Udregner!J23&lt;25,J7=Datasheet!D4),"OBS. Kategori D dækker kun anlæg over 25MW","")))),"")</f>
        <v/>
      </c>
      <c r="K24" s="35"/>
      <c r="L24" s="35"/>
      <c r="M24" s="35"/>
      <c r="N24" s="36"/>
    </row>
    <row r="25" spans="2:21" ht="18" customHeight="1" thickTop="1" x14ac:dyDescent="0.25">
      <c r="B25" s="69"/>
      <c r="C25" s="69"/>
      <c r="D25" s="69"/>
      <c r="E25" s="69"/>
      <c r="F25" s="69"/>
      <c r="G25" s="69"/>
    </row>
    <row r="26" spans="2:21" ht="18" customHeight="1" x14ac:dyDescent="0.25">
      <c r="B26" s="69"/>
      <c r="C26" s="69"/>
      <c r="D26" s="69"/>
      <c r="E26" s="69"/>
      <c r="F26" s="69"/>
      <c r="G26" s="69"/>
    </row>
    <row r="27" spans="2:21" ht="18" customHeight="1" x14ac:dyDescent="0.25">
      <c r="B27" s="69"/>
      <c r="C27" s="69"/>
      <c r="D27" s="69"/>
      <c r="E27" s="69"/>
      <c r="F27" s="69"/>
      <c r="G27" s="69"/>
    </row>
    <row r="28" spans="2:21" ht="18" customHeight="1" x14ac:dyDescent="0.25">
      <c r="B28" s="69"/>
      <c r="C28" s="69"/>
      <c r="D28" s="69"/>
      <c r="E28" s="69"/>
      <c r="F28" s="69"/>
      <c r="G28" s="69"/>
      <c r="O28" s="70" t="s">
        <v>73</v>
      </c>
    </row>
    <row r="29" spans="2:21" x14ac:dyDescent="0.25">
      <c r="B29" s="17"/>
      <c r="C29" s="17"/>
      <c r="D29" s="17"/>
      <c r="E29" s="17"/>
      <c r="F29" s="17"/>
      <c r="G29" s="17"/>
    </row>
    <row r="31" spans="2:21" x14ac:dyDescent="0.3">
      <c r="P31" s="50"/>
      <c r="Q31" s="50"/>
      <c r="R31" s="50"/>
      <c r="S31" s="50"/>
      <c r="T31" s="50"/>
      <c r="U31" s="50"/>
    </row>
  </sheetData>
  <sheetProtection algorithmName="SHA-512" hashValue="MyOl7cLpQ6zD2itPmkPI2U16l1uyeqUJf26yeyBO06M5z7OI+07ZKxwrak7DVSWrIzThoAg0DXwee7E4UsF/HA==" saltValue="M5QnoMQZXO1wszUbUx+PJA==" spinCount="100000" sheet="1" objects="1" scenarios="1"/>
  <mergeCells count="8">
    <mergeCell ref="A2:K2"/>
    <mergeCell ref="B4:G28"/>
    <mergeCell ref="J23:M23"/>
    <mergeCell ref="J18:M18"/>
    <mergeCell ref="J13:M13"/>
    <mergeCell ref="J11:M11"/>
    <mergeCell ref="J9:M9"/>
    <mergeCell ref="J7:M7"/>
  </mergeCells>
  <phoneticPr fontId="6" type="noConversion"/>
  <conditionalFormatting sqref="J23:M23">
    <cfRule type="expression" dxfId="2" priority="1">
      <formula>IF($J$18&gt;0,TRUE,FALSE)</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9" id="{CAAF14B2-D1AB-46BD-AC56-58BBF20F7F51}">
            <xm:f>IF(Datasheet!$L$18=4,TRUE,FALSE)</xm:f>
            <x14:dxf>
              <fill>
                <patternFill>
                  <bgColor theme="0" tint="-0.24994659260841701"/>
                </patternFill>
              </fill>
              <border>
                <left style="thin">
                  <color auto="1"/>
                </left>
                <right style="thin">
                  <color auto="1"/>
                </right>
                <top style="thin">
                  <color auto="1"/>
                </top>
                <bottom style="thin">
                  <color auto="1"/>
                </bottom>
                <vertical/>
                <horizontal/>
              </border>
            </x14:dxf>
          </x14:cfRule>
          <xm:sqref>J18:M18</xm:sqref>
        </x14:conditionalFormatting>
        <x14:conditionalFormatting xmlns:xm="http://schemas.microsoft.com/office/excel/2006/main">
          <x14:cfRule type="expression" priority="10" id="{6D9DB293-C42B-4C00-888F-F809EAE21152}">
            <xm:f>IF(Datasheet!$L$18=4,TRUE,FALSE)</xm:f>
            <x14:dxf>
              <font>
                <b/>
                <i val="0"/>
                <strike val="0"/>
                <u/>
              </font>
            </x14:dxf>
          </x14:cfRule>
          <xm:sqref>I16</xm:sqref>
        </x14:conditionalFormatting>
      </x14:conditionalFormattings>
    </ext>
    <ext xmlns:x14="http://schemas.microsoft.com/office/spreadsheetml/2009/9/main" uri="{CCE6A557-97BC-4b89-ADB6-D9C93CAAB3DF}">
      <x14:dataValidations xmlns:xm="http://schemas.microsoft.com/office/excel/2006/main" xWindow="1513" yWindow="267" count="4">
        <x14:dataValidation type="list" errorStyle="warning" allowBlank="1" errorTitle="Fejl i indtastning!" error="Venligst indtast drifsspændingen i kV." promptTitle="Normal driftsspænding" prompt="Her driftspændingen vælges i kV." xr:uid="{A0905A5F-0B75-4824-84B8-93D77131EE88}">
          <x14:formula1>
            <xm:f>Datasheet!$E$15:$E$28</xm:f>
          </x14:formula1>
          <xm:sqref>J13:M13</xm:sqref>
        </x14:dataValidation>
        <x14:dataValidation type="list" allowBlank="1" showErrorMessage="1" promptTitle="Type anlæg" prompt="Her skal der vælges om anlægget er et almindeligt elproducerende anlæg eller et synkront anlæg." xr:uid="{672DD1C9-0CE7-41BB-80BB-862A164B6177}">
          <x14:formula1>
            <xm:f>Datasheet!$D$7:$D$9</xm:f>
          </x14:formula1>
          <xm:sqref>J9:M9</xm:sqref>
        </x14:dataValidation>
        <x14:dataValidation type="list" allowBlank="1" showErrorMessage="1" promptTitle="Anlæggets kategori" prompt="Her skal der vælges hvilken kategori anlægget hører under._x000a_Anlæg op til 125kW = A_x000a_Anlæg fra 125kW op til 3MW = B_x000a_Anlæg fra 3MW op til 25MW = C_x000a_Anlæg fra 25MW =D" xr:uid="{EF67A12C-7C4B-467C-BA56-6BB484E1585D}">
          <x14:formula1>
            <xm:f>Datasheet!$D$10:$D$14</xm:f>
          </x14:formula1>
          <xm:sqref>J11:M11</xm:sqref>
        </x14:dataValidation>
        <x14:dataValidation type="list" errorStyle="warning" allowBlank="1" showErrorMessage="1" errorTitle="Fejl!" error="Venligst vælge en af mulighederne" promptTitle="Valg af udregner" prompt="Her skal der vælges om man vil udregne indfødningsomfanget når man har nominel aktiv effekt eller omvendt." xr:uid="{62F88E4E-9512-4F94-9F77-9181CAEBE295}">
          <x14:formula1>
            <xm:f>Datasheet!$D$2:$D$4</xm:f>
          </x14:formula1>
          <xm:sqref>J7:M7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252A3-09BC-44E3-B870-35AE37D0C307}">
  <dimension ref="B2:M52"/>
  <sheetViews>
    <sheetView workbookViewId="0">
      <selection activeCell="L3" sqref="L3"/>
    </sheetView>
  </sheetViews>
  <sheetFormatPr defaultRowHeight="15" x14ac:dyDescent="0.25"/>
  <cols>
    <col min="2" max="2" width="18.28515625" customWidth="1"/>
    <col min="4" max="4" width="36.42578125" customWidth="1"/>
    <col min="5" max="5" width="27.42578125" customWidth="1"/>
    <col min="8" max="8" width="11" customWidth="1"/>
    <col min="10" max="10" width="16.140625" customWidth="1"/>
    <col min="11" max="11" width="11.85546875" customWidth="1"/>
  </cols>
  <sheetData>
    <row r="2" spans="2:13" x14ac:dyDescent="0.25">
      <c r="B2" s="12" t="s">
        <v>32</v>
      </c>
      <c r="C2" s="12">
        <v>0</v>
      </c>
      <c r="D2" s="12"/>
      <c r="E2" s="12">
        <f>IF(Udregner!I23=Datasheet!E3,1,IF(Udregner!I23=Datasheet!E4,2,0))</f>
        <v>0</v>
      </c>
      <c r="F2" t="s">
        <v>38</v>
      </c>
    </row>
    <row r="3" spans="2:13" x14ac:dyDescent="0.25">
      <c r="B3" s="12"/>
      <c r="C3" s="12">
        <v>1</v>
      </c>
      <c r="D3" s="12" t="s">
        <v>55</v>
      </c>
      <c r="E3" s="12" t="s">
        <v>81</v>
      </c>
      <c r="F3" t="s">
        <v>39</v>
      </c>
      <c r="K3" s="37" t="s">
        <v>41</v>
      </c>
      <c r="L3" s="37">
        <f>IF(L12=1,Udregner!J18,SQRT((Udregner!J18)^2+(L7*Udregner!J18)^2))</f>
        <v>0</v>
      </c>
      <c r="M3" t="s">
        <v>56</v>
      </c>
    </row>
    <row r="4" spans="2:13" x14ac:dyDescent="0.25">
      <c r="B4" s="12"/>
      <c r="C4" s="12">
        <v>2</v>
      </c>
      <c r="D4" s="12" t="s">
        <v>33</v>
      </c>
      <c r="E4" s="12" t="s">
        <v>78</v>
      </c>
      <c r="F4" t="s">
        <v>40</v>
      </c>
      <c r="K4" s="37" t="s">
        <v>42</v>
      </c>
      <c r="L4" s="37">
        <f>L12*Udregner!J18</f>
        <v>0</v>
      </c>
      <c r="M4" t="s">
        <v>57</v>
      </c>
    </row>
    <row r="5" spans="2:13" x14ac:dyDescent="0.25">
      <c r="B5" s="12"/>
      <c r="C5" s="12"/>
      <c r="D5" s="12"/>
      <c r="E5" s="12" t="s">
        <v>79</v>
      </c>
      <c r="F5" t="s">
        <v>61</v>
      </c>
      <c r="K5" s="37" t="s">
        <v>43</v>
      </c>
      <c r="L5" s="38" t="str">
        <f>IF(E2=1,L3,IF(E2=2,L4,""))</f>
        <v/>
      </c>
      <c r="M5" t="s">
        <v>58</v>
      </c>
    </row>
    <row r="6" spans="2:13" x14ac:dyDescent="0.25">
      <c r="B6" s="12"/>
      <c r="C6" s="12"/>
      <c r="D6" s="12"/>
      <c r="E6" s="12" t="s">
        <v>80</v>
      </c>
      <c r="F6" t="s">
        <v>62</v>
      </c>
      <c r="K6" s="39"/>
      <c r="L6" s="39"/>
    </row>
    <row r="7" spans="2:13" x14ac:dyDescent="0.25">
      <c r="B7" s="13" t="s">
        <v>31</v>
      </c>
      <c r="C7" s="13">
        <v>0</v>
      </c>
      <c r="D7" s="13"/>
      <c r="E7" s="13">
        <f>IF(Udregner!J9=Datasheet!D8,Datasheet!E8,IF(Udregner!J9=Datasheet!D9,Datasheet!E9,0))</f>
        <v>0</v>
      </c>
      <c r="F7" t="s">
        <v>50</v>
      </c>
      <c r="K7" s="39"/>
      <c r="L7" s="38">
        <f>IF(OR(Udregner!J11="C",Udregner!J11="D"),IF(E7=E8,0.329,IF(E7=E9,0.4,0)),0.329)</f>
        <v>0.32900000000000001</v>
      </c>
      <c r="M7" t="s">
        <v>51</v>
      </c>
    </row>
    <row r="8" spans="2:13" x14ac:dyDescent="0.25">
      <c r="B8" s="13"/>
      <c r="C8" s="13">
        <v>1</v>
      </c>
      <c r="D8" s="13" t="s">
        <v>26</v>
      </c>
      <c r="E8" s="13">
        <v>1</v>
      </c>
      <c r="F8" t="s">
        <v>59</v>
      </c>
      <c r="K8" s="39"/>
      <c r="L8" s="39"/>
    </row>
    <row r="9" spans="2:13" x14ac:dyDescent="0.25">
      <c r="B9" s="13"/>
      <c r="C9" s="13">
        <v>2</v>
      </c>
      <c r="D9" s="13" t="s">
        <v>34</v>
      </c>
      <c r="E9" s="13">
        <v>2</v>
      </c>
      <c r="F9" t="s">
        <v>60</v>
      </c>
      <c r="K9" s="39"/>
      <c r="L9" s="37">
        <v>1</v>
      </c>
      <c r="M9" t="s">
        <v>69</v>
      </c>
    </row>
    <row r="10" spans="2:13" x14ac:dyDescent="0.25">
      <c r="B10" s="14" t="s">
        <v>35</v>
      </c>
      <c r="C10" s="14">
        <v>0</v>
      </c>
      <c r="D10" s="14"/>
      <c r="E10" s="14"/>
      <c r="K10" s="39"/>
      <c r="L10" s="37">
        <v>0.94991099999999995</v>
      </c>
      <c r="M10" t="s">
        <v>53</v>
      </c>
    </row>
    <row r="11" spans="2:13" x14ac:dyDescent="0.25">
      <c r="B11" s="14"/>
      <c r="C11" s="14">
        <v>1</v>
      </c>
      <c r="D11" s="14" t="s">
        <v>1</v>
      </c>
      <c r="E11" s="14"/>
      <c r="F11" t="s">
        <v>64</v>
      </c>
      <c r="K11" s="39"/>
      <c r="L11" s="37">
        <v>0.928477</v>
      </c>
      <c r="M11" t="s">
        <v>54</v>
      </c>
    </row>
    <row r="12" spans="2:13" x14ac:dyDescent="0.25">
      <c r="B12" s="14"/>
      <c r="C12" s="14">
        <v>2</v>
      </c>
      <c r="D12" s="14" t="s">
        <v>2</v>
      </c>
      <c r="E12" s="14"/>
      <c r="F12" t="s">
        <v>64</v>
      </c>
      <c r="K12" s="39"/>
      <c r="L12" s="38">
        <f>IF(Udregner!J13&gt;=1,IF(L7=0.329,L10,IF(L7=0.4,L11,0)),Datasheet!L9)</f>
        <v>1</v>
      </c>
      <c r="M12" t="s">
        <v>52</v>
      </c>
    </row>
    <row r="13" spans="2:13" x14ac:dyDescent="0.25">
      <c r="B13" s="14"/>
      <c r="C13" s="14">
        <v>3</v>
      </c>
      <c r="D13" s="14" t="s">
        <v>3</v>
      </c>
      <c r="E13" s="14"/>
      <c r="F13" t="s">
        <v>64</v>
      </c>
      <c r="K13" s="39"/>
      <c r="L13" s="39"/>
    </row>
    <row r="14" spans="2:13" x14ac:dyDescent="0.25">
      <c r="B14" s="14"/>
      <c r="C14" s="14">
        <v>4</v>
      </c>
      <c r="D14" s="14" t="s">
        <v>4</v>
      </c>
      <c r="E14" s="14"/>
      <c r="F14" t="s">
        <v>64</v>
      </c>
      <c r="K14" s="39"/>
      <c r="L14" s="37">
        <f>IF(Udregner!J7&lt;&gt;"",1,0)</f>
        <v>0</v>
      </c>
      <c r="M14" t="s">
        <v>44</v>
      </c>
    </row>
    <row r="15" spans="2:13" x14ac:dyDescent="0.25">
      <c r="B15" s="15" t="s">
        <v>36</v>
      </c>
      <c r="C15" s="15">
        <v>0</v>
      </c>
      <c r="D15" s="43"/>
      <c r="E15" s="15"/>
      <c r="F15" t="s">
        <v>63</v>
      </c>
      <c r="K15" s="39"/>
      <c r="L15" s="13">
        <f>IF(Udregner!J9&lt;&gt;"",1,0)</f>
        <v>0</v>
      </c>
      <c r="M15" t="s">
        <v>47</v>
      </c>
    </row>
    <row r="16" spans="2:13" x14ac:dyDescent="0.25">
      <c r="B16" s="15"/>
      <c r="C16" s="15">
        <v>1</v>
      </c>
      <c r="D16" s="15">
        <v>230</v>
      </c>
      <c r="E16" s="15">
        <f t="shared" ref="E16:E17" si="0">D16/1000</f>
        <v>0.23</v>
      </c>
      <c r="F16" t="s">
        <v>63</v>
      </c>
      <c r="K16" s="39"/>
      <c r="L16" s="14">
        <f>IF(Udregner!J11&lt;&gt;"",1,0)</f>
        <v>0</v>
      </c>
      <c r="M16" t="s">
        <v>46</v>
      </c>
    </row>
    <row r="17" spans="2:13" x14ac:dyDescent="0.25">
      <c r="B17" s="15"/>
      <c r="C17" s="15">
        <v>2</v>
      </c>
      <c r="D17" s="15">
        <v>400</v>
      </c>
      <c r="E17" s="15">
        <f t="shared" si="0"/>
        <v>0.4</v>
      </c>
      <c r="F17" t="s">
        <v>63</v>
      </c>
      <c r="K17" s="39"/>
      <c r="L17" s="15">
        <f>IF(Udregner!J13&lt;&gt;"",1,0)</f>
        <v>0</v>
      </c>
      <c r="M17" t="s">
        <v>45</v>
      </c>
    </row>
    <row r="18" spans="2:13" x14ac:dyDescent="0.25">
      <c r="B18" s="15"/>
      <c r="C18" s="15">
        <v>3</v>
      </c>
      <c r="D18" s="15">
        <v>10000</v>
      </c>
      <c r="E18" s="15">
        <f t="shared" ref="E18:E28" si="1">D18/1000</f>
        <v>10</v>
      </c>
      <c r="F18" t="s">
        <v>63</v>
      </c>
      <c r="K18" s="39"/>
      <c r="L18" s="42">
        <f>SUM(L14:L17)</f>
        <v>0</v>
      </c>
      <c r="M18" t="s">
        <v>48</v>
      </c>
    </row>
    <row r="19" spans="2:13" x14ac:dyDescent="0.25">
      <c r="B19" s="15"/>
      <c r="C19" s="15">
        <v>4</v>
      </c>
      <c r="D19" s="15">
        <v>15000</v>
      </c>
      <c r="E19" s="15">
        <f t="shared" si="1"/>
        <v>15</v>
      </c>
      <c r="F19" t="s">
        <v>63</v>
      </c>
      <c r="L19">
        <f>IF(Udregner!J18&lt;&gt;"",1,0)</f>
        <v>0</v>
      </c>
      <c r="M19" t="s">
        <v>70</v>
      </c>
    </row>
    <row r="20" spans="2:13" x14ac:dyDescent="0.25">
      <c r="B20" s="15"/>
      <c r="C20" s="15">
        <v>5</v>
      </c>
      <c r="D20" s="15">
        <v>20000</v>
      </c>
      <c r="E20" s="15">
        <f t="shared" si="1"/>
        <v>20</v>
      </c>
      <c r="F20" t="s">
        <v>63</v>
      </c>
      <c r="L20">
        <f>SUM(L18:L19)</f>
        <v>0</v>
      </c>
      <c r="M20" t="s">
        <v>71</v>
      </c>
    </row>
    <row r="21" spans="2:13" x14ac:dyDescent="0.25">
      <c r="B21" s="15"/>
      <c r="C21" s="15">
        <v>6</v>
      </c>
      <c r="D21" s="15">
        <v>30000</v>
      </c>
      <c r="E21" s="15">
        <f t="shared" si="1"/>
        <v>30</v>
      </c>
      <c r="F21" t="s">
        <v>63</v>
      </c>
    </row>
    <row r="22" spans="2:13" x14ac:dyDescent="0.25">
      <c r="B22" s="15"/>
      <c r="C22" s="15">
        <v>7</v>
      </c>
      <c r="D22" s="15">
        <v>33000</v>
      </c>
      <c r="E22" s="15">
        <f t="shared" si="1"/>
        <v>33</v>
      </c>
      <c r="F22" t="s">
        <v>63</v>
      </c>
    </row>
    <row r="23" spans="2:13" x14ac:dyDescent="0.25">
      <c r="B23" s="15"/>
      <c r="C23" s="15">
        <v>8</v>
      </c>
      <c r="D23" s="15">
        <v>50000</v>
      </c>
      <c r="E23" s="15">
        <f t="shared" si="1"/>
        <v>50</v>
      </c>
      <c r="F23" t="s">
        <v>63</v>
      </c>
    </row>
    <row r="24" spans="2:13" x14ac:dyDescent="0.25">
      <c r="B24" s="15"/>
      <c r="C24" s="15">
        <v>9</v>
      </c>
      <c r="D24" s="15">
        <v>60000</v>
      </c>
      <c r="E24" s="15">
        <f t="shared" si="1"/>
        <v>60</v>
      </c>
      <c r="F24" t="s">
        <v>63</v>
      </c>
    </row>
    <row r="25" spans="2:13" x14ac:dyDescent="0.25">
      <c r="B25" s="15"/>
      <c r="C25" s="15">
        <v>10</v>
      </c>
      <c r="D25" s="15">
        <v>132000</v>
      </c>
      <c r="E25" s="15">
        <f t="shared" si="1"/>
        <v>132</v>
      </c>
      <c r="F25" t="s">
        <v>63</v>
      </c>
    </row>
    <row r="26" spans="2:13" x14ac:dyDescent="0.25">
      <c r="B26" s="15"/>
      <c r="C26" s="15">
        <v>11</v>
      </c>
      <c r="D26" s="15">
        <v>150000</v>
      </c>
      <c r="E26" s="15">
        <f t="shared" si="1"/>
        <v>150</v>
      </c>
      <c r="F26" t="s">
        <v>63</v>
      </c>
    </row>
    <row r="27" spans="2:13" x14ac:dyDescent="0.25">
      <c r="B27" s="15"/>
      <c r="C27" s="15">
        <v>12</v>
      </c>
      <c r="D27" s="15">
        <v>220000</v>
      </c>
      <c r="E27" s="15">
        <f t="shared" si="1"/>
        <v>220</v>
      </c>
      <c r="F27" t="s">
        <v>63</v>
      </c>
    </row>
    <row r="28" spans="2:13" x14ac:dyDescent="0.25">
      <c r="B28" s="15"/>
      <c r="C28" s="15">
        <v>13</v>
      </c>
      <c r="D28" s="15">
        <v>400000</v>
      </c>
      <c r="E28" s="15">
        <f t="shared" si="1"/>
        <v>400</v>
      </c>
    </row>
    <row r="31" spans="2:13" x14ac:dyDescent="0.25">
      <c r="B31" s="41" t="s">
        <v>67</v>
      </c>
    </row>
    <row r="32" spans="2:13" x14ac:dyDescent="0.25">
      <c r="B32" s="68" t="s">
        <v>68</v>
      </c>
      <c r="C32" s="68"/>
      <c r="D32" s="68"/>
      <c r="E32" s="68"/>
    </row>
    <row r="33" spans="2:5" x14ac:dyDescent="0.25">
      <c r="B33" s="68"/>
      <c r="C33" s="68"/>
      <c r="D33" s="68"/>
      <c r="E33" s="68"/>
    </row>
    <row r="34" spans="2:5" x14ac:dyDescent="0.25">
      <c r="B34" s="68"/>
      <c r="C34" s="68"/>
      <c r="D34" s="68"/>
      <c r="E34" s="68"/>
    </row>
    <row r="35" spans="2:5" x14ac:dyDescent="0.25">
      <c r="B35" s="68"/>
      <c r="C35" s="68"/>
      <c r="D35" s="68"/>
      <c r="E35" s="68"/>
    </row>
    <row r="36" spans="2:5" x14ac:dyDescent="0.25">
      <c r="B36" s="68"/>
      <c r="C36" s="68"/>
      <c r="D36" s="68"/>
      <c r="E36" s="68"/>
    </row>
    <row r="37" spans="2:5" x14ac:dyDescent="0.25">
      <c r="B37" s="68"/>
      <c r="C37" s="68"/>
      <c r="D37" s="68"/>
      <c r="E37" s="68"/>
    </row>
    <row r="38" spans="2:5" x14ac:dyDescent="0.25">
      <c r="B38" s="68"/>
      <c r="C38" s="68"/>
      <c r="D38" s="68"/>
      <c r="E38" s="68"/>
    </row>
    <row r="39" spans="2:5" x14ac:dyDescent="0.25">
      <c r="B39" s="68"/>
      <c r="C39" s="68"/>
      <c r="D39" s="68"/>
      <c r="E39" s="68"/>
    </row>
    <row r="40" spans="2:5" x14ac:dyDescent="0.25">
      <c r="B40" s="68"/>
      <c r="C40" s="68"/>
      <c r="D40" s="68"/>
      <c r="E40" s="68"/>
    </row>
    <row r="41" spans="2:5" x14ac:dyDescent="0.25">
      <c r="B41" s="68"/>
      <c r="C41" s="68"/>
      <c r="D41" s="68"/>
      <c r="E41" s="68"/>
    </row>
    <row r="42" spans="2:5" x14ac:dyDescent="0.25">
      <c r="B42" s="68"/>
      <c r="C42" s="68"/>
      <c r="D42" s="68"/>
      <c r="E42" s="68"/>
    </row>
    <row r="43" spans="2:5" x14ac:dyDescent="0.25">
      <c r="B43" s="68"/>
      <c r="C43" s="68"/>
      <c r="D43" s="68"/>
      <c r="E43" s="68"/>
    </row>
    <row r="44" spans="2:5" x14ac:dyDescent="0.25">
      <c r="B44" s="68"/>
      <c r="C44" s="68"/>
      <c r="D44" s="68"/>
      <c r="E44" s="68"/>
    </row>
    <row r="45" spans="2:5" x14ac:dyDescent="0.25">
      <c r="B45" s="68"/>
      <c r="C45" s="68"/>
      <c r="D45" s="68"/>
      <c r="E45" s="68"/>
    </row>
    <row r="46" spans="2:5" x14ac:dyDescent="0.25">
      <c r="B46" s="68"/>
      <c r="C46" s="68"/>
      <c r="D46" s="68"/>
      <c r="E46" s="68"/>
    </row>
    <row r="47" spans="2:5" x14ac:dyDescent="0.25">
      <c r="B47" s="68"/>
      <c r="C47" s="68"/>
      <c r="D47" s="68"/>
      <c r="E47" s="68"/>
    </row>
    <row r="48" spans="2:5" x14ac:dyDescent="0.25">
      <c r="B48" s="68"/>
      <c r="C48" s="68"/>
      <c r="D48" s="68"/>
      <c r="E48" s="68"/>
    </row>
    <row r="49" spans="2:5" x14ac:dyDescent="0.25">
      <c r="B49" s="68"/>
      <c r="C49" s="68"/>
      <c r="D49" s="68"/>
      <c r="E49" s="68"/>
    </row>
    <row r="50" spans="2:5" x14ac:dyDescent="0.25">
      <c r="B50" s="68"/>
      <c r="C50" s="68"/>
      <c r="D50" s="68"/>
      <c r="E50" s="68"/>
    </row>
    <row r="51" spans="2:5" x14ac:dyDescent="0.25">
      <c r="B51" s="68"/>
      <c r="C51" s="68"/>
      <c r="D51" s="68"/>
      <c r="E51" s="68"/>
    </row>
    <row r="52" spans="2:5" x14ac:dyDescent="0.25">
      <c r="B52" s="68"/>
      <c r="C52" s="68"/>
      <c r="D52" s="68"/>
      <c r="E52" s="68"/>
    </row>
  </sheetData>
  <mergeCells count="1">
    <mergeCell ref="B32:E52"/>
  </mergeCells>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Sheet1 (IKKE I BRUG)</vt:lpstr>
      <vt:lpstr>Datasheet (IKKE I BRUG)</vt:lpstr>
      <vt:lpstr>Udregner</vt:lpstr>
      <vt:lpstr>Datasheet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Florisson Madsen</dc:creator>
  <cp:lastModifiedBy>Malene Dissing</cp:lastModifiedBy>
  <dcterms:created xsi:type="dcterms:W3CDTF">2023-02-14T12:31:39Z</dcterms:created>
  <dcterms:modified xsi:type="dcterms:W3CDTF">2023-03-09T13:26:50Z</dcterms:modified>
</cp:coreProperties>
</file>